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comments2.xml" ContentType="application/vnd.openxmlformats-officedocument.spreadsheetml.comment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6.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enny Hernandez\Desktop\Laboratorio 2020\Documentos a actualizar\"/>
    </mc:Choice>
  </mc:AlternateContent>
  <workbookProtection workbookAlgorithmName="SHA-512" workbookHashValue="OyXh6J5i7OvXW2pOk5AOjnqoi7eg9QEKuDWgV8pnQvCPJK3NLK8gpqO1MDebl50XPW+5GqXHPNG7qRvAVM8S+g==" workbookSaltValue="oXySkHFdEmU2UsXNSy2WNQ==" workbookSpinCount="100000" lockStructure="1"/>
  <bookViews>
    <workbookView xWindow="0" yWindow="0" windowWidth="17970" windowHeight="7110" firstSheet="4" activeTab="4"/>
  </bookViews>
  <sheets>
    <sheet name="DATOS @ " sheetId="15" state="hidden" r:id="rId1"/>
    <sheet name="RT03-F12 @" sheetId="8" state="hidden" r:id="rId2"/>
    <sheet name=" RT03-F15 @" sheetId="18" state="hidden" r:id="rId3"/>
    <sheet name=" CMC @" sheetId="25" state="hidden" r:id="rId4"/>
    <sheet name=" RT03-F39 @ " sheetId="27" r:id="rId5"/>
  </sheets>
  <externalReferences>
    <externalReference r:id="rId6"/>
    <externalReference r:id="rId7"/>
    <externalReference r:id="rId8"/>
  </externalReferences>
  <definedNames>
    <definedName name="a1_">'[1]APROXIMACION LINEL'!$C$21</definedName>
    <definedName name="_xlnm.Print_Area" localSheetId="3">' CMC @'!$A$1:$K$32</definedName>
    <definedName name="_xlnm.Print_Area" localSheetId="2">' RT03-F15 @'!$A$1:$F$187</definedName>
    <definedName name="_xlnm.Print_Area" localSheetId="4">' RT03-F39 @ '!$A$1:$F$187</definedName>
    <definedName name="_xlnm.Print_Area" localSheetId="1">'RT03-F12 @'!$A$1:$Q$144</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Print_Area" localSheetId="2">' RT03-F15 @'!$A$1:$F$186</definedName>
    <definedName name="Print_Area" localSheetId="4">' RT03-F39 @ '!$A$1:$F$186</definedName>
    <definedName name="Print_Area" localSheetId="0">'DATOS @ '!$A$1:$T$167</definedName>
    <definedName name="Print_Area" localSheetId="1">'RT03-F12 @'!$A$1:$L$146</definedName>
    <definedName name="Print_Titles" localSheetId="2">' RT03-F15 @'!$1:$1</definedName>
    <definedName name="Print_Titles" localSheetId="4">' RT03-F39 @ '!$1:$1</definedName>
    <definedName name="Print_Titles" localSheetId="1">'RT03-F12 @'!$1:$3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1" i="27" l="1"/>
  <c r="A181" i="27"/>
  <c r="D180" i="27"/>
  <c r="A180" i="27"/>
  <c r="D153" i="27"/>
  <c r="B153" i="27"/>
  <c r="C149" i="27"/>
  <c r="C110" i="27"/>
  <c r="D110" i="27" s="1"/>
  <c r="B110" i="27"/>
  <c r="A110" i="27"/>
  <c r="C109" i="27"/>
  <c r="D109" i="27" s="1"/>
  <c r="B109" i="27"/>
  <c r="A109" i="27"/>
  <c r="C108" i="27"/>
  <c r="D108" i="27" s="1"/>
  <c r="B108" i="27"/>
  <c r="A108" i="27"/>
  <c r="C107" i="27"/>
  <c r="B107" i="27"/>
  <c r="D107" i="27" s="1"/>
  <c r="A107" i="27"/>
  <c r="C106" i="27"/>
  <c r="B106" i="27"/>
  <c r="D106" i="27" s="1"/>
  <c r="A106" i="27"/>
  <c r="C102" i="27"/>
  <c r="B102" i="27"/>
  <c r="A102" i="27"/>
  <c r="C101" i="27"/>
  <c r="B101" i="27"/>
  <c r="A101" i="27"/>
  <c r="C100" i="27"/>
  <c r="B100" i="27"/>
  <c r="A100" i="27"/>
  <c r="C99" i="27"/>
  <c r="B99" i="27"/>
  <c r="A99" i="27"/>
  <c r="C98" i="27"/>
  <c r="B98" i="27"/>
  <c r="A98" i="27"/>
  <c r="D90" i="27"/>
  <c r="C90" i="27"/>
  <c r="B90" i="27"/>
  <c r="A90" i="27"/>
  <c r="D89" i="27"/>
  <c r="C89" i="27"/>
  <c r="B89" i="27"/>
  <c r="A89" i="27"/>
  <c r="D88" i="27"/>
  <c r="C88" i="27"/>
  <c r="B88" i="27"/>
  <c r="A88" i="27"/>
  <c r="D87" i="27"/>
  <c r="C87" i="27"/>
  <c r="B87" i="27"/>
  <c r="A87" i="27"/>
  <c r="D86" i="27"/>
  <c r="C86" i="27"/>
  <c r="B86" i="27"/>
  <c r="A86" i="27"/>
  <c r="D85" i="27"/>
  <c r="C85" i="27"/>
  <c r="B85" i="27"/>
  <c r="A85" i="27"/>
  <c r="D84" i="27"/>
  <c r="C84" i="27"/>
  <c r="B84" i="27"/>
  <c r="A84" i="27"/>
  <c r="D83" i="27"/>
  <c r="C83" i="27"/>
  <c r="B83" i="27"/>
  <c r="A83" i="27"/>
  <c r="D82" i="27"/>
  <c r="C82" i="27"/>
  <c r="B82" i="27"/>
  <c r="A82" i="27"/>
  <c r="D81" i="27"/>
  <c r="C81" i="27"/>
  <c r="B81" i="27"/>
  <c r="A81" i="27"/>
  <c r="D79" i="27"/>
  <c r="C79" i="27"/>
  <c r="B79" i="27"/>
  <c r="A79" i="27"/>
  <c r="C67" i="27"/>
  <c r="C66" i="27"/>
  <c r="B66" i="27"/>
  <c r="A66" i="27"/>
  <c r="C65" i="27"/>
  <c r="B65" i="27"/>
  <c r="A65" i="27"/>
  <c r="C64" i="27"/>
  <c r="B64" i="27"/>
  <c r="A64" i="27"/>
  <c r="C63" i="27"/>
  <c r="B63" i="27"/>
  <c r="A63" i="27"/>
  <c r="C62" i="27"/>
  <c r="B62" i="27"/>
  <c r="A62" i="27"/>
  <c r="B61" i="27"/>
  <c r="A61" i="27"/>
  <c r="C60" i="27"/>
  <c r="B60" i="27"/>
  <c r="A60" i="27"/>
  <c r="C52" i="27"/>
  <c r="C51" i="27"/>
  <c r="C50" i="27"/>
  <c r="C48" i="27"/>
  <c r="E38" i="27"/>
  <c r="D38" i="27"/>
  <c r="C38" i="27"/>
  <c r="E37" i="27"/>
  <c r="D37" i="27"/>
  <c r="C37" i="27"/>
  <c r="C27" i="27"/>
  <c r="A25" i="27"/>
  <c r="C21" i="27"/>
  <c r="C20" i="27"/>
  <c r="C19" i="27"/>
  <c r="C18" i="27"/>
  <c r="C17" i="27"/>
  <c r="C16" i="27"/>
  <c r="C15" i="27"/>
  <c r="F10" i="27"/>
  <c r="C10" i="27"/>
  <c r="C8" i="27"/>
  <c r="C7" i="27"/>
  <c r="C6" i="27"/>
  <c r="F3" i="27"/>
  <c r="F159" i="27" s="1"/>
  <c r="F43" i="27" l="1"/>
  <c r="F75" i="27"/>
  <c r="F119" i="27"/>
  <c r="F81" i="8" l="1"/>
  <c r="J81" i="8"/>
  <c r="I81" i="8"/>
  <c r="H81" i="8"/>
  <c r="G81" i="8"/>
  <c r="G28" i="8"/>
  <c r="L32" i="8"/>
  <c r="I24" i="8"/>
  <c r="I79" i="8"/>
  <c r="I22" i="8"/>
  <c r="I23" i="8"/>
  <c r="D26" i="8"/>
  <c r="I25" i="8" s="1"/>
  <c r="D14" i="8"/>
  <c r="J76" i="8"/>
  <c r="E34" i="8"/>
  <c r="G34" i="8"/>
  <c r="C37" i="8"/>
  <c r="C38" i="8"/>
  <c r="D37" i="8"/>
  <c r="D38" i="8"/>
  <c r="E37" i="8"/>
  <c r="E38" i="8"/>
  <c r="F37" i="8"/>
  <c r="F38" i="8"/>
  <c r="G37" i="8"/>
  <c r="G38" i="8"/>
  <c r="I59" i="8"/>
  <c r="J59" i="8"/>
  <c r="B113" i="8" s="1"/>
  <c r="D48" i="8"/>
  <c r="E48" i="8" s="1"/>
  <c r="F48" i="8" s="1"/>
  <c r="D21" i="25"/>
  <c r="I64" i="8"/>
  <c r="E37" i="18" s="1"/>
  <c r="I65" i="8"/>
  <c r="E38" i="18" s="1"/>
  <c r="G65" i="8"/>
  <c r="D38" i="18" s="1"/>
  <c r="G64" i="8"/>
  <c r="D37" i="18" s="1"/>
  <c r="E65" i="8"/>
  <c r="C38" i="18" s="1"/>
  <c r="E64" i="8"/>
  <c r="C37" i="18" s="1"/>
  <c r="C21" i="25"/>
  <c r="B21" i="25"/>
  <c r="N33" i="15"/>
  <c r="P33" i="15"/>
  <c r="M33" i="15"/>
  <c r="O33" i="15"/>
  <c r="O88" i="15"/>
  <c r="O87" i="15"/>
  <c r="O86" i="15"/>
  <c r="O85" i="15"/>
  <c r="O84" i="15"/>
  <c r="O83" i="15"/>
  <c r="O82" i="15"/>
  <c r="O81" i="15"/>
  <c r="O80" i="15"/>
  <c r="O79" i="15"/>
  <c r="O78" i="15"/>
  <c r="O77" i="15"/>
  <c r="O76" i="15"/>
  <c r="O75" i="15"/>
  <c r="O74" i="15"/>
  <c r="O73" i="15"/>
  <c r="O72" i="15"/>
  <c r="O71" i="15"/>
  <c r="O70" i="15"/>
  <c r="O69" i="15"/>
  <c r="O68" i="15"/>
  <c r="O67" i="15"/>
  <c r="O66" i="15"/>
  <c r="O65" i="15"/>
  <c r="O64" i="15"/>
  <c r="O63" i="15"/>
  <c r="O62" i="15"/>
  <c r="O61" i="15"/>
  <c r="O60" i="15"/>
  <c r="O59" i="15"/>
  <c r="O58" i="15"/>
  <c r="O57" i="15"/>
  <c r="O56" i="15"/>
  <c r="O55" i="15"/>
  <c r="O38" i="15"/>
  <c r="O39" i="15"/>
  <c r="O40" i="15"/>
  <c r="O41" i="15"/>
  <c r="O42" i="15"/>
  <c r="O43" i="15"/>
  <c r="O44" i="15"/>
  <c r="O45" i="15"/>
  <c r="O46" i="15"/>
  <c r="O47" i="15"/>
  <c r="O48" i="15"/>
  <c r="O49" i="15"/>
  <c r="O50" i="15"/>
  <c r="O51" i="15"/>
  <c r="O52" i="15"/>
  <c r="O53" i="15"/>
  <c r="O54" i="15"/>
  <c r="O29" i="15"/>
  <c r="O30" i="15"/>
  <c r="O31" i="15"/>
  <c r="O32" i="15"/>
  <c r="O28" i="15"/>
  <c r="P28" i="15"/>
  <c r="I21" i="8"/>
  <c r="F80" i="8"/>
  <c r="H21" i="8"/>
  <c r="I15" i="8"/>
  <c r="C52" i="18"/>
  <c r="I14" i="8"/>
  <c r="Q33" i="15"/>
  <c r="Q28" i="15"/>
  <c r="S72" i="15"/>
  <c r="G26" i="8"/>
  <c r="G22" i="8"/>
  <c r="K94" i="8"/>
  <c r="S29" i="15"/>
  <c r="S30" i="15"/>
  <c r="S31" i="15"/>
  <c r="S32" i="15"/>
  <c r="S28" i="15"/>
  <c r="L17" i="15"/>
  <c r="K17" i="15"/>
  <c r="R125" i="15"/>
  <c r="D181" i="18"/>
  <c r="D180" i="18"/>
  <c r="N55" i="8"/>
  <c r="A181" i="18"/>
  <c r="A180" i="18"/>
  <c r="T165" i="15"/>
  <c r="T164" i="15"/>
  <c r="S164" i="15"/>
  <c r="T163" i="15"/>
  <c r="T162" i="15"/>
  <c r="S162" i="15"/>
  <c r="T161" i="15"/>
  <c r="S161" i="15"/>
  <c r="S165" i="15"/>
  <c r="S163" i="15"/>
  <c r="R165" i="15"/>
  <c r="R164" i="15"/>
  <c r="R163" i="15"/>
  <c r="R162" i="15"/>
  <c r="Q162" i="15"/>
  <c r="R161" i="15"/>
  <c r="Q161" i="15"/>
  <c r="Q165" i="15"/>
  <c r="Q164" i="15"/>
  <c r="Q163" i="15"/>
  <c r="P165" i="15"/>
  <c r="P164" i="15"/>
  <c r="P163" i="15"/>
  <c r="P162" i="15"/>
  <c r="O162" i="15"/>
  <c r="P161" i="15"/>
  <c r="O161" i="15"/>
  <c r="O165" i="15"/>
  <c r="O164" i="15"/>
  <c r="O163" i="15"/>
  <c r="N165" i="15"/>
  <c r="K165" i="15"/>
  <c r="K164" i="15"/>
  <c r="K163" i="15"/>
  <c r="K162" i="15"/>
  <c r="K161" i="15"/>
  <c r="J165" i="15"/>
  <c r="J164" i="15"/>
  <c r="J28" i="8"/>
  <c r="J163" i="15"/>
  <c r="J162" i="15"/>
  <c r="J161" i="15"/>
  <c r="I165" i="15"/>
  <c r="I164" i="15"/>
  <c r="I163" i="15"/>
  <c r="I162" i="15"/>
  <c r="I161" i="15"/>
  <c r="H164" i="15"/>
  <c r="H165" i="15"/>
  <c r="H163" i="15"/>
  <c r="H162" i="15"/>
  <c r="H161" i="15"/>
  <c r="G165" i="15"/>
  <c r="G164" i="15"/>
  <c r="G163" i="15"/>
  <c r="G162" i="15"/>
  <c r="G161" i="15"/>
  <c r="E28" i="8"/>
  <c r="K159" i="15"/>
  <c r="J159" i="15"/>
  <c r="H159" i="15"/>
  <c r="I159" i="15"/>
  <c r="R145" i="15"/>
  <c r="N163" i="15"/>
  <c r="Q145" i="15"/>
  <c r="M163" i="15"/>
  <c r="P145" i="15"/>
  <c r="L163" i="15"/>
  <c r="R135" i="15"/>
  <c r="N162" i="15"/>
  <c r="Q135" i="15"/>
  <c r="M162" i="15"/>
  <c r="P135" i="15"/>
  <c r="L162" i="15"/>
  <c r="Q125" i="15"/>
  <c r="M165" i="15"/>
  <c r="P125" i="15"/>
  <c r="L165" i="15"/>
  <c r="R114" i="15"/>
  <c r="N164" i="15"/>
  <c r="Q114" i="15"/>
  <c r="M164" i="15"/>
  <c r="P114" i="15"/>
  <c r="L164" i="15"/>
  <c r="R103" i="15"/>
  <c r="N161" i="15"/>
  <c r="Q103" i="15"/>
  <c r="M161" i="15"/>
  <c r="P103" i="15"/>
  <c r="L161" i="15"/>
  <c r="H29" i="8"/>
  <c r="J29" i="8"/>
  <c r="C28" i="8"/>
  <c r="E29" i="8"/>
  <c r="B102" i="18"/>
  <c r="B101" i="18"/>
  <c r="B100" i="18"/>
  <c r="B99" i="18"/>
  <c r="B98" i="18"/>
  <c r="D90" i="18"/>
  <c r="C90" i="18"/>
  <c r="B90" i="18"/>
  <c r="A90" i="18"/>
  <c r="D89" i="18"/>
  <c r="C89" i="18"/>
  <c r="B89" i="18"/>
  <c r="A89" i="18"/>
  <c r="D88" i="18"/>
  <c r="C88" i="18"/>
  <c r="B88" i="18"/>
  <c r="A88" i="18"/>
  <c r="D87" i="18"/>
  <c r="C87" i="18"/>
  <c r="B87" i="18"/>
  <c r="A87" i="18"/>
  <c r="D86" i="18"/>
  <c r="C86" i="18"/>
  <c r="B86" i="18"/>
  <c r="A86" i="18"/>
  <c r="D85" i="18"/>
  <c r="C85" i="18"/>
  <c r="B85" i="18"/>
  <c r="A85" i="18"/>
  <c r="D84" i="18"/>
  <c r="C84" i="18"/>
  <c r="B84" i="18"/>
  <c r="A84" i="18"/>
  <c r="D83" i="18"/>
  <c r="C83" i="18"/>
  <c r="B83" i="18"/>
  <c r="A83" i="18"/>
  <c r="D82" i="18"/>
  <c r="C82" i="18"/>
  <c r="B82" i="18"/>
  <c r="A82" i="18"/>
  <c r="D81" i="18"/>
  <c r="C81" i="18"/>
  <c r="B81" i="18"/>
  <c r="A81" i="18"/>
  <c r="A79" i="18"/>
  <c r="B66" i="18"/>
  <c r="A66" i="18"/>
  <c r="B65" i="18"/>
  <c r="A65" i="18"/>
  <c r="B64" i="18"/>
  <c r="A64" i="18"/>
  <c r="B63" i="18"/>
  <c r="A63" i="18"/>
  <c r="B62" i="18"/>
  <c r="A62" i="18"/>
  <c r="B61" i="18"/>
  <c r="A61" i="18"/>
  <c r="C60" i="18"/>
  <c r="A60" i="18"/>
  <c r="D103" i="8"/>
  <c r="S57" i="15"/>
  <c r="S58" i="15"/>
  <c r="S59" i="15"/>
  <c r="S60" i="15"/>
  <c r="S61" i="15"/>
  <c r="S62" i="15"/>
  <c r="S63" i="15"/>
  <c r="S64" i="15"/>
  <c r="S65" i="15"/>
  <c r="S66" i="15"/>
  <c r="S67" i="15"/>
  <c r="S68" i="15"/>
  <c r="S69" i="15"/>
  <c r="S70" i="15"/>
  <c r="S56" i="15"/>
  <c r="S55" i="15"/>
  <c r="I6" i="8"/>
  <c r="F6" i="8"/>
  <c r="F10" i="18" s="1"/>
  <c r="S74" i="15"/>
  <c r="S75" i="15"/>
  <c r="S76" i="15"/>
  <c r="S77" i="15"/>
  <c r="S78" i="15"/>
  <c r="S79" i="15"/>
  <c r="S80" i="15"/>
  <c r="S81" i="15"/>
  <c r="S82" i="15"/>
  <c r="S83" i="15"/>
  <c r="S84" i="15"/>
  <c r="S85" i="15"/>
  <c r="S86" i="15"/>
  <c r="S87" i="15"/>
  <c r="S88" i="15"/>
  <c r="S73" i="15"/>
  <c r="S71" i="15"/>
  <c r="S38" i="15"/>
  <c r="S42" i="15"/>
  <c r="S43" i="15"/>
  <c r="S44" i="15"/>
  <c r="S45" i="15"/>
  <c r="S46" i="15"/>
  <c r="S47" i="15"/>
  <c r="S48" i="15"/>
  <c r="S49" i="15"/>
  <c r="S50" i="15"/>
  <c r="S51" i="15"/>
  <c r="S52" i="15"/>
  <c r="S53" i="15"/>
  <c r="S54" i="15"/>
  <c r="S40" i="15"/>
  <c r="S41" i="15"/>
  <c r="S39" i="15"/>
  <c r="I103" i="8"/>
  <c r="B6" i="8"/>
  <c r="C8" i="18" s="1"/>
  <c r="H6" i="8"/>
  <c r="G6" i="8"/>
  <c r="C6" i="18" s="1"/>
  <c r="E6" i="8"/>
  <c r="D6" i="8"/>
  <c r="C27" i="18"/>
  <c r="C6" i="8"/>
  <c r="B55" i="8"/>
  <c r="D55" i="8"/>
  <c r="I13" i="8"/>
  <c r="I12" i="8"/>
  <c r="I11" i="8"/>
  <c r="C48" i="18"/>
  <c r="I10" i="8"/>
  <c r="I9" i="8"/>
  <c r="J25" i="8"/>
  <c r="P39" i="15"/>
  <c r="Q39" i="15"/>
  <c r="P40" i="15"/>
  <c r="Q40" i="15"/>
  <c r="P41" i="15"/>
  <c r="Q41" i="15"/>
  <c r="P42" i="15"/>
  <c r="Q42" i="15"/>
  <c r="P43" i="15"/>
  <c r="Q43" i="15"/>
  <c r="P44" i="15"/>
  <c r="Q44" i="15"/>
  <c r="P45" i="15"/>
  <c r="Q45" i="15"/>
  <c r="P46" i="15"/>
  <c r="Q46" i="15"/>
  <c r="P47" i="15"/>
  <c r="Q47" i="15"/>
  <c r="P48" i="15"/>
  <c r="Q48" i="15"/>
  <c r="P49" i="15"/>
  <c r="Q49" i="15"/>
  <c r="P50" i="15"/>
  <c r="Q50" i="15"/>
  <c r="P51" i="15"/>
  <c r="Q51" i="15"/>
  <c r="P52" i="15"/>
  <c r="Q52" i="15"/>
  <c r="P53" i="15"/>
  <c r="Q53" i="15"/>
  <c r="P54" i="15"/>
  <c r="Q54" i="15"/>
  <c r="P55" i="15"/>
  <c r="Q55" i="15"/>
  <c r="P56" i="15"/>
  <c r="Q56" i="15"/>
  <c r="P57" i="15"/>
  <c r="Q57" i="15"/>
  <c r="P58" i="15"/>
  <c r="Q58" i="15"/>
  <c r="P59" i="15"/>
  <c r="Q59" i="15"/>
  <c r="P60" i="15"/>
  <c r="Q60" i="15"/>
  <c r="P61" i="15"/>
  <c r="Q61" i="15"/>
  <c r="P62" i="15"/>
  <c r="Q62" i="15"/>
  <c r="P63" i="15"/>
  <c r="Q63" i="15"/>
  <c r="P64" i="15"/>
  <c r="Q64" i="15"/>
  <c r="P65" i="15"/>
  <c r="Q65" i="15"/>
  <c r="P66" i="15"/>
  <c r="Q66" i="15"/>
  <c r="P67" i="15"/>
  <c r="Q67" i="15"/>
  <c r="P68" i="15"/>
  <c r="Q68" i="15"/>
  <c r="P69" i="15"/>
  <c r="Q69" i="15"/>
  <c r="P70" i="15"/>
  <c r="Q70" i="15"/>
  <c r="P71" i="15"/>
  <c r="Q71" i="15"/>
  <c r="P72" i="15"/>
  <c r="Q72" i="15"/>
  <c r="P73" i="15"/>
  <c r="Q73" i="15"/>
  <c r="P74" i="15"/>
  <c r="Q74" i="15"/>
  <c r="P75" i="15"/>
  <c r="Q75" i="15"/>
  <c r="P76" i="15"/>
  <c r="Q76" i="15"/>
  <c r="P77" i="15"/>
  <c r="Q77" i="15"/>
  <c r="P78" i="15"/>
  <c r="Q78" i="15"/>
  <c r="P79" i="15"/>
  <c r="Q79" i="15"/>
  <c r="P80" i="15"/>
  <c r="Q80" i="15"/>
  <c r="P81" i="15"/>
  <c r="Q81" i="15"/>
  <c r="P82" i="15"/>
  <c r="Q82" i="15"/>
  <c r="P83" i="15"/>
  <c r="Q83" i="15"/>
  <c r="P84" i="15"/>
  <c r="Q84" i="15"/>
  <c r="P85" i="15"/>
  <c r="Q85" i="15"/>
  <c r="P86" i="15"/>
  <c r="Q86" i="15"/>
  <c r="P87" i="15"/>
  <c r="Q87" i="15"/>
  <c r="P88" i="15"/>
  <c r="Q88" i="15"/>
  <c r="P38" i="15"/>
  <c r="Q38" i="15"/>
  <c r="P29" i="15"/>
  <c r="Q29" i="15"/>
  <c r="P30" i="15"/>
  <c r="Q30" i="15"/>
  <c r="P31" i="15"/>
  <c r="Q31" i="15"/>
  <c r="P32" i="15"/>
  <c r="Q32" i="15"/>
  <c r="G23" i="8"/>
  <c r="N130" i="8"/>
  <c r="E26" i="8"/>
  <c r="B26" i="8"/>
  <c r="J24" i="8"/>
  <c r="J23" i="8"/>
  <c r="J22" i="8"/>
  <c r="J21" i="8"/>
  <c r="G24" i="8"/>
  <c r="I70" i="8"/>
  <c r="G21" i="8"/>
  <c r="K93" i="8"/>
  <c r="A98" i="18"/>
  <c r="D15" i="8"/>
  <c r="D13" i="8"/>
  <c r="D12" i="8"/>
  <c r="D11" i="8"/>
  <c r="D10" i="8"/>
  <c r="D9" i="8"/>
  <c r="T74" i="15"/>
  <c r="T75" i="15"/>
  <c r="T76" i="15"/>
  <c r="T77" i="15"/>
  <c r="T78" i="15"/>
  <c r="T79" i="15"/>
  <c r="T80" i="15"/>
  <c r="T81" i="15"/>
  <c r="T82" i="15"/>
  <c r="T83" i="15"/>
  <c r="T84" i="15"/>
  <c r="T85" i="15"/>
  <c r="T86" i="15"/>
  <c r="T87" i="15"/>
  <c r="T88" i="15"/>
  <c r="T56" i="15"/>
  <c r="T57" i="15"/>
  <c r="T58" i="15"/>
  <c r="T59" i="15"/>
  <c r="T60" i="15"/>
  <c r="T61" i="15"/>
  <c r="T62" i="15"/>
  <c r="T63" i="15"/>
  <c r="T64" i="15"/>
  <c r="T65" i="15"/>
  <c r="T66" i="15"/>
  <c r="T67" i="15"/>
  <c r="T68" i="15"/>
  <c r="T69" i="15"/>
  <c r="T70" i="15"/>
  <c r="T39" i="15"/>
  <c r="T40" i="15"/>
  <c r="T41" i="15"/>
  <c r="T42" i="15"/>
  <c r="T43" i="15"/>
  <c r="T44" i="15"/>
  <c r="T45" i="15"/>
  <c r="T46" i="15"/>
  <c r="T47" i="15"/>
  <c r="T48" i="15"/>
  <c r="T49" i="15"/>
  <c r="T50" i="15"/>
  <c r="T51" i="15"/>
  <c r="T52" i="15"/>
  <c r="T53" i="15"/>
  <c r="T54" i="15"/>
  <c r="L74" i="8"/>
  <c r="F120" i="8"/>
  <c r="M119" i="8"/>
  <c r="J89" i="8"/>
  <c r="I89" i="8"/>
  <c r="H89" i="8"/>
  <c r="G89" i="8"/>
  <c r="F89" i="8"/>
  <c r="I58" i="8"/>
  <c r="J58" i="8"/>
  <c r="B112" i="8" s="1"/>
  <c r="I57" i="8"/>
  <c r="J57" i="8" s="1"/>
  <c r="B111" i="8" s="1"/>
  <c r="I56" i="8"/>
  <c r="J56" i="8"/>
  <c r="B110" i="8" s="1"/>
  <c r="I55" i="8"/>
  <c r="J55" i="8" s="1"/>
  <c r="B109" i="8" s="1"/>
  <c r="D50" i="8"/>
  <c r="E50" i="8"/>
  <c r="C50" i="8"/>
  <c r="D49" i="8"/>
  <c r="E49" i="8" s="1"/>
  <c r="C49" i="8"/>
  <c r="C48" i="8"/>
  <c r="A46" i="8"/>
  <c r="A45" i="8"/>
  <c r="A44" i="8"/>
  <c r="H23" i="8"/>
  <c r="B57" i="8"/>
  <c r="H22" i="8"/>
  <c r="B56" i="8"/>
  <c r="C26" i="8"/>
  <c r="H24" i="8"/>
  <c r="B58" i="8"/>
  <c r="J75" i="8"/>
  <c r="F75" i="8"/>
  <c r="H75" i="8"/>
  <c r="G75" i="8"/>
  <c r="I75" i="8"/>
  <c r="C18" i="18"/>
  <c r="I76" i="8"/>
  <c r="F76" i="8"/>
  <c r="H76" i="8"/>
  <c r="G76" i="8"/>
  <c r="A25" i="18"/>
  <c r="N129" i="8"/>
  <c r="G80" i="8"/>
  <c r="C20" i="18"/>
  <c r="C66" i="18"/>
  <c r="C10" i="18"/>
  <c r="C7" i="18"/>
  <c r="D79" i="18"/>
  <c r="B79" i="18"/>
  <c r="B60" i="18"/>
  <c r="C50" i="18"/>
  <c r="C51" i="18"/>
  <c r="C64" i="18"/>
  <c r="C62" i="18"/>
  <c r="B48" i="8"/>
  <c r="B50" i="8"/>
  <c r="I80" i="8"/>
  <c r="H70" i="8"/>
  <c r="K96" i="8"/>
  <c r="A109" i="18"/>
  <c r="K95" i="8"/>
  <c r="A108" i="18"/>
  <c r="I82" i="8"/>
  <c r="I96" i="8"/>
  <c r="C15" i="18"/>
  <c r="H79" i="8"/>
  <c r="H80" i="8"/>
  <c r="H82" i="8"/>
  <c r="G79" i="8"/>
  <c r="G82" i="8"/>
  <c r="G96" i="8"/>
  <c r="F79" i="8"/>
  <c r="F82" i="8"/>
  <c r="C21" i="18"/>
  <c r="C17" i="18"/>
  <c r="C19" i="18"/>
  <c r="C16" i="18"/>
  <c r="C63" i="18"/>
  <c r="C65" i="18"/>
  <c r="C79" i="18"/>
  <c r="B49" i="8"/>
  <c r="D58" i="8"/>
  <c r="C101" i="18" s="1"/>
  <c r="G25" i="8"/>
  <c r="K97" i="8" s="1"/>
  <c r="G70" i="8"/>
  <c r="F70" i="8"/>
  <c r="N128" i="8"/>
  <c r="N131" i="8"/>
  <c r="K58" i="8"/>
  <c r="A101" i="18"/>
  <c r="K57" i="8"/>
  <c r="D57" i="8"/>
  <c r="E57" i="8" s="1"/>
  <c r="A107" i="18"/>
  <c r="A99" i="18"/>
  <c r="E55" i="8"/>
  <c r="C98" i="18"/>
  <c r="K56" i="8"/>
  <c r="D56" i="8"/>
  <c r="C99" i="18" s="1"/>
  <c r="H25" i="8"/>
  <c r="B59" i="8"/>
  <c r="A106" i="18"/>
  <c r="A100" i="18"/>
  <c r="J70" i="8"/>
  <c r="N132" i="8"/>
  <c r="E58" i="8"/>
  <c r="H96" i="8"/>
  <c r="M96" i="8"/>
  <c r="B109" i="18"/>
  <c r="C9" i="25" s="1"/>
  <c r="L58" i="8"/>
  <c r="L96" i="8" s="1"/>
  <c r="C112" i="8" s="1"/>
  <c r="L57" i="8"/>
  <c r="L95" i="8"/>
  <c r="C111" i="8" s="1"/>
  <c r="M95" i="8"/>
  <c r="B108" i="18"/>
  <c r="C8" i="25" s="1"/>
  <c r="E56" i="8"/>
  <c r="M94" i="8"/>
  <c r="B107" i="18"/>
  <c r="C7" i="25" s="1"/>
  <c r="L56" i="8"/>
  <c r="L94" i="8" s="1"/>
  <c r="C110" i="8" s="1"/>
  <c r="F96" i="8"/>
  <c r="K55" i="8" l="1"/>
  <c r="C100" i="18"/>
  <c r="I74" i="8"/>
  <c r="G74" i="8"/>
  <c r="J74" i="8"/>
  <c r="F74" i="8"/>
  <c r="C119" i="8" s="1"/>
  <c r="H74" i="8"/>
  <c r="C121" i="8"/>
  <c r="C39" i="8"/>
  <c r="H73" i="8" s="1"/>
  <c r="H77" i="8" s="1"/>
  <c r="C120" i="8"/>
  <c r="C67" i="18"/>
  <c r="A110" i="18"/>
  <c r="A102" i="18"/>
  <c r="J80" i="8"/>
  <c r="J79" i="8"/>
  <c r="D59" i="8"/>
  <c r="K59" i="8"/>
  <c r="J82" i="8"/>
  <c r="J96" i="8"/>
  <c r="F3" i="18"/>
  <c r="L55" i="8" l="1"/>
  <c r="L93" i="8" s="1"/>
  <c r="C109" i="8" s="1"/>
  <c r="M93" i="8"/>
  <c r="B106" i="18" s="1"/>
  <c r="C6" i="25" s="1"/>
  <c r="J73" i="8"/>
  <c r="M85" i="8" s="1"/>
  <c r="I73" i="8"/>
  <c r="I77" i="8" s="1"/>
  <c r="I91" i="8" s="1"/>
  <c r="G73" i="8"/>
  <c r="G77" i="8" s="1"/>
  <c r="G84" i="8" s="1"/>
  <c r="F73" i="8"/>
  <c r="F77" i="8" s="1"/>
  <c r="F91" i="8" s="1"/>
  <c r="F84" i="8"/>
  <c r="G91" i="8"/>
  <c r="H91" i="8"/>
  <c r="H84" i="8"/>
  <c r="M97" i="8"/>
  <c r="B110" i="18" s="1"/>
  <c r="C10" i="25" s="1"/>
  <c r="L59" i="8"/>
  <c r="L97" i="8" s="1"/>
  <c r="C113" i="8" s="1"/>
  <c r="C102" i="18"/>
  <c r="E59" i="8"/>
  <c r="F43" i="18"/>
  <c r="F75" i="18"/>
  <c r="F159" i="18"/>
  <c r="F119" i="18"/>
  <c r="M86" i="8" l="1"/>
  <c r="N85" i="8" s="1"/>
  <c r="J77" i="8"/>
  <c r="I84" i="8"/>
  <c r="D112" i="8" s="1"/>
  <c r="E112" i="8" s="1"/>
  <c r="N96" i="8"/>
  <c r="N94" i="8"/>
  <c r="D110" i="8"/>
  <c r="E110" i="8" s="1"/>
  <c r="G98" i="8"/>
  <c r="G101" i="8" s="1"/>
  <c r="D111" i="8"/>
  <c r="E111" i="8" s="1"/>
  <c r="H98" i="8"/>
  <c r="H101" i="8" s="1"/>
  <c r="N95" i="8"/>
  <c r="D109" i="8"/>
  <c r="E109" i="8" s="1"/>
  <c r="F98" i="8"/>
  <c r="F101" i="8" s="1"/>
  <c r="F121" i="8" s="1"/>
  <c r="N93" i="8"/>
  <c r="J84" i="8" l="1"/>
  <c r="J91" i="8"/>
  <c r="J98" i="8" s="1"/>
  <c r="J101" i="8" s="1"/>
  <c r="I98" i="8"/>
  <c r="I101" i="8" s="1"/>
  <c r="P95" i="8"/>
  <c r="O95" i="8"/>
  <c r="P94" i="8"/>
  <c r="O94" i="8"/>
  <c r="O93" i="8"/>
  <c r="P93" i="8"/>
  <c r="G112" i="8"/>
  <c r="F112" i="8"/>
  <c r="G111" i="8"/>
  <c r="F111" i="8"/>
  <c r="O96" i="8"/>
  <c r="P96" i="8"/>
  <c r="F109" i="8"/>
  <c r="F114" i="8" s="1"/>
  <c r="G109" i="8"/>
  <c r="G114" i="8" s="1"/>
  <c r="C118" i="8" s="1"/>
  <c r="F110" i="8"/>
  <c r="G110" i="8"/>
  <c r="M81" i="8" l="1"/>
  <c r="M75" i="8"/>
  <c r="M76" i="8"/>
  <c r="M80" i="8"/>
  <c r="M73" i="8"/>
  <c r="M82" i="8" s="1"/>
  <c r="M79" i="8"/>
  <c r="M74" i="8"/>
  <c r="N97" i="8"/>
  <c r="D113" i="8"/>
  <c r="E113" i="8" s="1"/>
  <c r="C107" i="18"/>
  <c r="C116" i="8"/>
  <c r="C108" i="18"/>
  <c r="C109" i="18"/>
  <c r="C106" i="18"/>
  <c r="O97" i="8" l="1"/>
  <c r="P97" i="8"/>
  <c r="G113" i="8"/>
  <c r="F113" i="8"/>
  <c r="D6" i="25"/>
  <c r="E6" i="25" s="1"/>
  <c r="D106" i="18"/>
  <c r="D109" i="18"/>
  <c r="D9" i="25"/>
  <c r="E9" i="25" s="1"/>
  <c r="C117" i="8"/>
  <c r="F140" i="8"/>
  <c r="F141" i="8" s="1"/>
  <c r="C149" i="18" s="1"/>
  <c r="H113" i="8"/>
  <c r="H112" i="8"/>
  <c r="H109" i="8"/>
  <c r="H114" i="8" s="1"/>
  <c r="F118" i="8" s="1"/>
  <c r="K119" i="8" s="1"/>
  <c r="K120" i="8" s="1"/>
  <c r="H111" i="8"/>
  <c r="H110" i="8"/>
  <c r="D8" i="25"/>
  <c r="E8" i="25" s="1"/>
  <c r="D108" i="18"/>
  <c r="D107" i="18"/>
  <c r="D7" i="25"/>
  <c r="E7" i="25" s="1"/>
  <c r="C110" i="18" l="1"/>
  <c r="I111" i="8"/>
  <c r="I112" i="8"/>
  <c r="I110" i="8"/>
  <c r="I113" i="8"/>
  <c r="E135" i="8"/>
  <c r="I109" i="8"/>
  <c r="G135" i="8"/>
  <c r="F6" i="25"/>
  <c r="G6" i="25"/>
  <c r="D110" i="18" l="1"/>
  <c r="D10" i="25"/>
  <c r="E10" i="25" s="1"/>
  <c r="D23" i="25" s="1"/>
  <c r="J113" i="8"/>
  <c r="K113" i="8"/>
  <c r="O132" i="8" s="1"/>
  <c r="J110" i="8"/>
  <c r="K110" i="8"/>
  <c r="O129" i="8" s="1"/>
  <c r="K109" i="8"/>
  <c r="J109" i="8"/>
  <c r="I114" i="8"/>
  <c r="J112" i="8"/>
  <c r="K112" i="8"/>
  <c r="O131" i="8" s="1"/>
  <c r="K111" i="8"/>
  <c r="O130" i="8" s="1"/>
  <c r="J111" i="8"/>
  <c r="D125" i="8" l="1"/>
  <c r="O128" i="8"/>
  <c r="D124" i="8" s="1"/>
  <c r="E136" i="8" l="1"/>
  <c r="M140" i="8"/>
  <c r="M141" i="8" s="1"/>
  <c r="O140" i="8"/>
  <c r="O141" i="8" s="1"/>
  <c r="H125" i="8"/>
  <c r="G136" i="8"/>
  <c r="L113" i="8" l="1"/>
  <c r="M113" i="8" s="1"/>
  <c r="L109" i="8"/>
  <c r="M109" i="8" s="1"/>
  <c r="L110" i="8"/>
  <c r="M110" i="8" s="1"/>
  <c r="L112" i="8"/>
  <c r="M112" i="8" s="1"/>
  <c r="L111" i="8"/>
  <c r="M111" i="8" s="1"/>
  <c r="D153" i="18"/>
  <c r="H8" i="25"/>
  <c r="I8" i="25" s="1"/>
  <c r="B153" i="18"/>
  <c r="H7" i="25"/>
  <c r="I7" i="25" s="1"/>
  <c r="H6" i="25"/>
  <c r="I6" i="25" s="1"/>
  <c r="H9" i="25"/>
  <c r="I9" i="25" s="1"/>
  <c r="H10" i="25"/>
  <c r="I10" i="25" s="1"/>
  <c r="G21" i="25"/>
  <c r="H21" i="25" s="1"/>
</calcChain>
</file>

<file path=xl/comments1.xml><?xml version="1.0" encoding="utf-8"?>
<comments xmlns="http://schemas.openxmlformats.org/spreadsheetml/2006/main">
  <authors>
    <author>Elvis Aguirre Romero</author>
  </authors>
  <commentList>
    <comment ref="C33" authorId="0" shapeId="0">
      <text>
        <r>
          <rPr>
            <sz val="9"/>
            <color indexed="81"/>
            <rFont val="Tahoma"/>
            <family val="2"/>
          </rPr>
          <t xml:space="preserve">TENER ENCUENTA LA CARGA MAXIMA SEGÚN LA BALANZA A CALIBRAR
</t>
        </r>
      </text>
    </comment>
  </commentList>
</comments>
</file>

<file path=xl/comments2.xml><?xml version="1.0" encoding="utf-8"?>
<comments xmlns="http://schemas.openxmlformats.org/spreadsheetml/2006/main">
  <authors>
    <author>Elvis Aguirre Romero</author>
    <author>STIVINSON</author>
  </authors>
  <commentList>
    <comment ref="A73" authorId="0" shapeId="0">
      <text>
        <r>
          <rPr>
            <sz val="9"/>
            <color indexed="81"/>
            <rFont val="Tahoma"/>
            <family val="2"/>
          </rPr>
          <t xml:space="preserve">
Ecuación 7.1.1-10</t>
        </r>
      </text>
    </comment>
    <comment ref="A74" authorId="0" shapeId="0">
      <text>
        <r>
          <rPr>
            <sz val="9"/>
            <color indexed="81"/>
            <rFont val="Tahoma"/>
            <family val="2"/>
          </rPr>
          <t xml:space="preserve">Ecuación 7.1.1-5
</t>
        </r>
      </text>
    </comment>
    <comment ref="A75" authorId="0" shapeId="0">
      <text>
        <r>
          <rPr>
            <b/>
            <sz val="9"/>
            <color indexed="81"/>
            <rFont val="Tahoma"/>
            <family val="2"/>
          </rPr>
          <t>Ecuación 7.1.1-3 a</t>
        </r>
      </text>
    </comment>
    <comment ref="A76" authorId="0" shapeId="0">
      <text>
        <r>
          <rPr>
            <b/>
            <sz val="9"/>
            <color indexed="81"/>
            <rFont val="Tahoma"/>
            <family val="2"/>
          </rPr>
          <t>Ecuación 7.1.1-3 b</t>
        </r>
        <r>
          <rPr>
            <sz val="9"/>
            <color indexed="81"/>
            <rFont val="Tahoma"/>
            <family val="2"/>
          </rPr>
          <t xml:space="preserve">
</t>
        </r>
      </text>
    </comment>
    <comment ref="C77" authorId="0" shapeId="0">
      <text>
        <r>
          <rPr>
            <sz val="9"/>
            <color indexed="81"/>
            <rFont val="Tahoma"/>
            <family val="2"/>
          </rPr>
          <t xml:space="preserve">Ecuación 7.1.1 - 12
</t>
        </r>
      </text>
    </comment>
    <comment ref="A79" authorId="0" shapeId="0">
      <text>
        <r>
          <rPr>
            <b/>
            <sz val="9"/>
            <color indexed="81"/>
            <rFont val="Tahoma"/>
            <family val="2"/>
          </rPr>
          <t>Ecuación 7.1.2-2</t>
        </r>
        <r>
          <rPr>
            <sz val="9"/>
            <color indexed="81"/>
            <rFont val="Tahoma"/>
            <family val="2"/>
          </rPr>
          <t xml:space="preserve">
</t>
        </r>
      </text>
    </comment>
    <comment ref="A80" authorId="0" shapeId="0">
      <text>
        <r>
          <rPr>
            <b/>
            <sz val="9"/>
            <color indexed="81"/>
            <rFont val="Tahoma"/>
            <family val="2"/>
          </rPr>
          <t>Ecuación 7.1.2-5 a</t>
        </r>
        <r>
          <rPr>
            <sz val="9"/>
            <color indexed="81"/>
            <rFont val="Tahoma"/>
            <family val="2"/>
          </rPr>
          <t xml:space="preserve">
</t>
        </r>
      </text>
    </comment>
    <comment ref="A81" authorId="1" shapeId="0">
      <text>
        <r>
          <rPr>
            <sz val="9"/>
            <color indexed="81"/>
            <rFont val="Tahoma"/>
            <family val="2"/>
          </rPr>
          <t xml:space="preserve">
Ecuación 7.1.2-11</t>
        </r>
      </text>
    </comment>
    <comment ref="C82" authorId="0" shapeId="0">
      <text>
        <r>
          <rPr>
            <b/>
            <sz val="9"/>
            <color indexed="81"/>
            <rFont val="Tahoma"/>
            <family val="2"/>
          </rPr>
          <t>Ecuación 7.1.2-14</t>
        </r>
        <r>
          <rPr>
            <sz val="9"/>
            <color indexed="81"/>
            <rFont val="Tahoma"/>
            <family val="2"/>
          </rPr>
          <t xml:space="preserve">
</t>
        </r>
      </text>
    </comment>
    <comment ref="C84" authorId="0" shapeId="0">
      <text>
        <r>
          <rPr>
            <b/>
            <sz val="9"/>
            <color indexed="81"/>
            <rFont val="Tahoma"/>
            <family val="2"/>
          </rPr>
          <t>Ecuación 7.1.3 -1a</t>
        </r>
        <r>
          <rPr>
            <sz val="9"/>
            <color indexed="81"/>
            <rFont val="Tahoma"/>
            <family val="2"/>
          </rPr>
          <t xml:space="preserve">
</t>
        </r>
      </text>
    </comment>
    <comment ref="N91" authorId="0" shapeId="0">
      <text>
        <r>
          <rPr>
            <b/>
            <sz val="9"/>
            <color indexed="81"/>
            <rFont val="Tahoma"/>
            <family val="2"/>
          </rPr>
          <t>Ecuación 7.3-1</t>
        </r>
      </text>
    </comment>
  </commentList>
</comments>
</file>

<file path=xl/sharedStrings.xml><?xml version="1.0" encoding="utf-8"?>
<sst xmlns="http://schemas.openxmlformats.org/spreadsheetml/2006/main" count="898" uniqueCount="477">
  <si>
    <t>Clase</t>
  </si>
  <si>
    <t>Serial</t>
  </si>
  <si>
    <t>Certificado N°</t>
  </si>
  <si>
    <t>Fabricante</t>
  </si>
  <si>
    <t>Presión (hPa)</t>
  </si>
  <si>
    <t>Temperatura (°C)</t>
  </si>
  <si>
    <t>Ciudad</t>
  </si>
  <si>
    <t>Solicitante</t>
  </si>
  <si>
    <t>Modelo</t>
  </si>
  <si>
    <t>DATOS DE LA BALANZA A CALIBRAR</t>
  </si>
  <si>
    <t xml:space="preserve"> DATOS DE LOS PATRONES PARA LAS PRUEBAS</t>
  </si>
  <si>
    <t>Cargas para Repetibilidad (g)</t>
  </si>
  <si>
    <t>Incertidumbre (mg)</t>
  </si>
  <si>
    <t>PRUEBA DE EXCENTRICIDAD</t>
  </si>
  <si>
    <t>Posición</t>
  </si>
  <si>
    <t>Diferencia (g)</t>
  </si>
  <si>
    <t>PRUEBA DE REPETIBILIDAD</t>
  </si>
  <si>
    <t>Cargas (g)</t>
  </si>
  <si>
    <t>promedios (g)</t>
  </si>
  <si>
    <t>Indicaciones</t>
  </si>
  <si>
    <t>Excentricidad</t>
  </si>
  <si>
    <t>Repetibilidad</t>
  </si>
  <si>
    <t>PRUEBA DE ERROR DE INDICACIÓN (EXACTITUD)</t>
  </si>
  <si>
    <t>Incertidumbre por pesas patrón</t>
  </si>
  <si>
    <t>Distribución</t>
  </si>
  <si>
    <t>Cargas de prueba (g)</t>
  </si>
  <si>
    <t>GRADOS EFECTIVOS DE LIBERTAD</t>
  </si>
  <si>
    <t>GRADOS EFECTIVOS DE LIBERTAD DEL ERROR</t>
  </si>
  <si>
    <t>Magnitud</t>
  </si>
  <si>
    <t xml:space="preserve">                       PRESUPUESTO DE INCERTIDUMBRE</t>
  </si>
  <si>
    <t>Error de</t>
  </si>
  <si>
    <t>p</t>
  </si>
  <si>
    <t>pIE</t>
  </si>
  <si>
    <t>Σ</t>
  </si>
  <si>
    <t>≤</t>
  </si>
  <si>
    <t>u(Eappr) a REPORTAR</t>
  </si>
  <si>
    <t>m=</t>
  </si>
  <si>
    <t>b=</t>
  </si>
  <si>
    <t>Beta (β)</t>
  </si>
  <si>
    <t xml:space="preserve">G de libertad </t>
  </si>
  <si>
    <t>Valor ABS de diferencia</t>
  </si>
  <si>
    <t xml:space="preserve"> (mg)</t>
  </si>
  <si>
    <t>Carga min (g)</t>
  </si>
  <si>
    <t>INCERTIDUMBRE POR INDICACION (mg)</t>
  </si>
  <si>
    <t>n</t>
  </si>
  <si>
    <t>Rectangular</t>
  </si>
  <si>
    <t>Normal</t>
  </si>
  <si>
    <t>k =</t>
  </si>
  <si>
    <t>(g)</t>
  </si>
  <si>
    <t>Carga</t>
  </si>
  <si>
    <t>GRADOS EFECTIVOS DE LIBERTAD POR MASA DE REFERENCIA</t>
  </si>
  <si>
    <t>GRADOS EFECTIVOS DE LIBERTAD POR INDICACION</t>
  </si>
  <si>
    <t xml:space="preserve">Nivel de Confianza                                                                </t>
  </si>
  <si>
    <t>incertidumbre  certificado (mg)</t>
  </si>
  <si>
    <t>CONDICIONES AMBIENTALES INICIALES</t>
  </si>
  <si>
    <t>CONDICIONES AMBIENTALES FINALES</t>
  </si>
  <si>
    <t>s (mg)</t>
  </si>
  <si>
    <t>s (g)</t>
  </si>
  <si>
    <t xml:space="preserve">K mayor </t>
  </si>
  <si>
    <t>INCERTIDUMBRE EXPANDIDA DE LOS ERRORES APROXIMADOS  U(Eappr)</t>
  </si>
  <si>
    <t>Carga (g)</t>
  </si>
  <si>
    <t xml:space="preserve">  + </t>
  </si>
  <si>
    <t>R (g)</t>
  </si>
  <si>
    <t>VALIDACIÓN   -   RESULTADOS</t>
  </si>
  <si>
    <t>U (E)  (mg) =</t>
  </si>
  <si>
    <t>x</t>
  </si>
  <si>
    <t>y</t>
  </si>
  <si>
    <t>Información del Cliente</t>
  </si>
  <si>
    <t xml:space="preserve">Dirección                       </t>
  </si>
  <si>
    <t xml:space="preserve">Ciudad                          </t>
  </si>
  <si>
    <t>Fecha de recepción</t>
  </si>
  <si>
    <t>Serie</t>
  </si>
  <si>
    <t>Fecha de calibración</t>
  </si>
  <si>
    <t>Figura 1</t>
  </si>
  <si>
    <t>Prueba de excentricidad.</t>
  </si>
  <si>
    <t>INDICACIÓN g</t>
  </si>
  <si>
    <t>Prueba de repetibilidad.</t>
  </si>
  <si>
    <t>__________________________________</t>
  </si>
  <si>
    <t>Carga para excentricidad    (g)</t>
  </si>
  <si>
    <t>Valor nominal Cargas de    prueba (g) mN</t>
  </si>
  <si>
    <t>Grados efectivos de libertad de Excentricidad</t>
  </si>
  <si>
    <t>Grados efectivos de libertad de Repetibilidad</t>
  </si>
  <si>
    <t>Grados efectivos de libertad de Resolución</t>
  </si>
  <si>
    <t>Grados efectivos de libertad de Pesas</t>
  </si>
  <si>
    <t>Grados efectivos de libertad de Empuje</t>
  </si>
  <si>
    <t>Grados efectivos de libertad de Deriva</t>
  </si>
  <si>
    <t>ANTES DE AJUSTE</t>
  </si>
  <si>
    <t xml:space="preserve">  la  pendiente</t>
  </si>
  <si>
    <t>punto  de  corte</t>
  </si>
  <si>
    <t>N=</t>
  </si>
  <si>
    <t xml:space="preserve">Observaciones </t>
  </si>
  <si>
    <t>Calibrado por</t>
  </si>
  <si>
    <t xml:space="preserve">    ______________________________</t>
  </si>
  <si>
    <t>E (R)  (mg) =</t>
  </si>
  <si>
    <r>
      <t>Masa  Convencional (g)  m</t>
    </r>
    <r>
      <rPr>
        <vertAlign val="subscript"/>
        <sz val="11"/>
        <rFont val="Arial"/>
        <family val="2"/>
      </rPr>
      <t>c</t>
    </r>
  </si>
  <si>
    <r>
      <t>m</t>
    </r>
    <r>
      <rPr>
        <vertAlign val="subscript"/>
        <sz val="11"/>
        <color theme="1"/>
        <rFont val="Arial"/>
        <family val="2"/>
      </rPr>
      <t>c</t>
    </r>
  </si>
  <si>
    <r>
      <t>pI</t>
    </r>
    <r>
      <rPr>
        <b/>
        <i/>
        <vertAlign val="superscript"/>
        <sz val="11"/>
        <color theme="1"/>
        <rFont val="Arial"/>
        <family val="2"/>
      </rPr>
      <t>2</t>
    </r>
  </si>
  <si>
    <r>
      <t>u</t>
    </r>
    <r>
      <rPr>
        <b/>
        <i/>
        <vertAlign val="superscript"/>
        <sz val="11"/>
        <color theme="1"/>
        <rFont val="Arial"/>
        <family val="2"/>
      </rPr>
      <t>2</t>
    </r>
    <r>
      <rPr>
        <b/>
        <i/>
        <sz val="11"/>
        <color theme="1"/>
        <rFont val="Arial"/>
        <family val="2"/>
      </rPr>
      <t>(Eappr)</t>
    </r>
  </si>
  <si>
    <r>
      <t>a</t>
    </r>
    <r>
      <rPr>
        <b/>
        <i/>
        <vertAlign val="subscript"/>
        <sz val="11"/>
        <color theme="0"/>
        <rFont val="Arial"/>
        <family val="2"/>
      </rPr>
      <t xml:space="preserve">1    </t>
    </r>
  </si>
  <si>
    <r>
      <t>a</t>
    </r>
    <r>
      <rPr>
        <b/>
        <i/>
        <vertAlign val="subscript"/>
        <sz val="11"/>
        <color theme="1"/>
        <rFont val="Arial"/>
        <family val="2"/>
      </rPr>
      <t>1</t>
    </r>
    <r>
      <rPr>
        <b/>
        <i/>
        <vertAlign val="superscript"/>
        <sz val="11"/>
        <color theme="1"/>
        <rFont val="Arial"/>
        <family val="2"/>
      </rPr>
      <t>2</t>
    </r>
    <r>
      <rPr>
        <b/>
        <i/>
        <sz val="11"/>
        <color theme="1"/>
        <rFont val="Arial"/>
        <family val="2"/>
      </rPr>
      <t>=</t>
    </r>
  </si>
  <si>
    <r>
      <t>u</t>
    </r>
    <r>
      <rPr>
        <b/>
        <i/>
        <vertAlign val="superscript"/>
        <sz val="11"/>
        <color theme="1"/>
        <rFont val="Arial"/>
        <family val="2"/>
      </rPr>
      <t>2</t>
    </r>
    <r>
      <rPr>
        <b/>
        <i/>
        <sz val="11"/>
        <color theme="1"/>
        <rFont val="Arial"/>
        <family val="2"/>
      </rPr>
      <t>(R(dys)) =</t>
    </r>
  </si>
  <si>
    <r>
      <t>u</t>
    </r>
    <r>
      <rPr>
        <b/>
        <vertAlign val="superscript"/>
        <sz val="11"/>
        <rFont val="Arial"/>
        <family val="2"/>
      </rPr>
      <t>2</t>
    </r>
    <r>
      <rPr>
        <b/>
        <sz val="11"/>
        <rFont val="Arial"/>
        <family val="2"/>
      </rPr>
      <t>(Eappr)</t>
    </r>
  </si>
  <si>
    <r>
      <t>R</t>
    </r>
    <r>
      <rPr>
        <b/>
        <vertAlign val="superscript"/>
        <sz val="11"/>
        <rFont val="Arial"/>
        <family val="2"/>
      </rPr>
      <t>2</t>
    </r>
  </si>
  <si>
    <t>DIF. (g)</t>
  </si>
  <si>
    <t>Sartorius</t>
  </si>
  <si>
    <t>Indicación 1(g)</t>
  </si>
  <si>
    <t>Información</t>
  </si>
  <si>
    <t>No</t>
  </si>
  <si>
    <t>Fecha de Recepción</t>
  </si>
  <si>
    <t>Lugar de Calibración</t>
  </si>
  <si>
    <t>Certificado</t>
  </si>
  <si>
    <t>Pesas</t>
  </si>
  <si>
    <t>Marcación</t>
  </si>
  <si>
    <t>Valor nominal (g)</t>
  </si>
  <si>
    <t>Incertidumbre de calibración (mg)</t>
  </si>
  <si>
    <t>Identificación Interna</t>
  </si>
  <si>
    <t xml:space="preserve">E2   1 g  </t>
  </si>
  <si>
    <t>E 2</t>
  </si>
  <si>
    <t>AJS</t>
  </si>
  <si>
    <t>M-001</t>
  </si>
  <si>
    <t xml:space="preserve">E2   2 g  </t>
  </si>
  <si>
    <t>AKI</t>
  </si>
  <si>
    <t>AKJ</t>
  </si>
  <si>
    <t xml:space="preserve">E2   5 g  </t>
  </si>
  <si>
    <t>AGU</t>
  </si>
  <si>
    <t xml:space="preserve">E2   10 g  </t>
  </si>
  <si>
    <t>AH3</t>
  </si>
  <si>
    <t xml:space="preserve">E2   20 g  </t>
  </si>
  <si>
    <t>AJ1</t>
  </si>
  <si>
    <t>AKA</t>
  </si>
  <si>
    <t xml:space="preserve">E2   50 g  </t>
  </si>
  <si>
    <t>AHL</t>
  </si>
  <si>
    <t xml:space="preserve">E2   100 g  </t>
  </si>
  <si>
    <t>AJG</t>
  </si>
  <si>
    <t xml:space="preserve">E2   200 g  </t>
  </si>
  <si>
    <t>ALZ</t>
  </si>
  <si>
    <t>ALW</t>
  </si>
  <si>
    <t xml:space="preserve">E2   500 g  </t>
  </si>
  <si>
    <t>ACT</t>
  </si>
  <si>
    <t xml:space="preserve">E2   1000 g  </t>
  </si>
  <si>
    <t>ABN</t>
  </si>
  <si>
    <t xml:space="preserve">E2   2000 g  </t>
  </si>
  <si>
    <t>AC1</t>
  </si>
  <si>
    <t>ABY</t>
  </si>
  <si>
    <t xml:space="preserve">E2   5000 g  </t>
  </si>
  <si>
    <t>AB9</t>
  </si>
  <si>
    <t>E2   10000 g</t>
  </si>
  <si>
    <t>AAM</t>
  </si>
  <si>
    <t xml:space="preserve">F1   1 g  </t>
  </si>
  <si>
    <t>F 1</t>
  </si>
  <si>
    <t>M-002</t>
  </si>
  <si>
    <t xml:space="preserve">F1   2 g  </t>
  </si>
  <si>
    <t xml:space="preserve">F1   2 g punto </t>
  </si>
  <si>
    <t>2*</t>
  </si>
  <si>
    <t xml:space="preserve">F1   5 g  </t>
  </si>
  <si>
    <t xml:space="preserve">F1   10 g  </t>
  </si>
  <si>
    <t>A</t>
  </si>
  <si>
    <t xml:space="preserve">F1   20 g  </t>
  </si>
  <si>
    <t xml:space="preserve">F1   20 g punto </t>
  </si>
  <si>
    <t>20*</t>
  </si>
  <si>
    <t xml:space="preserve">F1   50 g  </t>
  </si>
  <si>
    <t xml:space="preserve">F1   100 g  </t>
  </si>
  <si>
    <t xml:space="preserve">F1   200 g  </t>
  </si>
  <si>
    <t xml:space="preserve">F1   200 g punto </t>
  </si>
  <si>
    <t>200*</t>
  </si>
  <si>
    <t xml:space="preserve">F1   500 g  </t>
  </si>
  <si>
    <t xml:space="preserve">F1   1000 g  </t>
  </si>
  <si>
    <t xml:space="preserve">F1   2000 g  </t>
  </si>
  <si>
    <t xml:space="preserve">F1   2000 g punto </t>
  </si>
  <si>
    <t xml:space="preserve">F1   5000 g  </t>
  </si>
  <si>
    <t>F1   10000 g</t>
  </si>
  <si>
    <t>M-003</t>
  </si>
  <si>
    <t>F1   20000 g</t>
  </si>
  <si>
    <t>M-004</t>
  </si>
  <si>
    <t>Rice Lake</t>
  </si>
  <si>
    <t>No porta</t>
  </si>
  <si>
    <t>M-016</t>
  </si>
  <si>
    <t>punto</t>
  </si>
  <si>
    <t>LH</t>
  </si>
  <si>
    <t>Luis Henry Barreto Rojas</t>
  </si>
  <si>
    <t>EA</t>
  </si>
  <si>
    <t>Elvis Aguirre Romero</t>
  </si>
  <si>
    <t>Identificación / Serie</t>
  </si>
  <si>
    <t>Capacidad (Según Certificado)</t>
  </si>
  <si>
    <t>División de Escala / Resolución</t>
  </si>
  <si>
    <t>Corrección (Según Certificado)</t>
  </si>
  <si>
    <t>Incertidumbre del Certificado</t>
  </si>
  <si>
    <t>Factor de Cobertura (Según Certificado)</t>
  </si>
  <si>
    <t>Fecha de Calibración</t>
  </si>
  <si>
    <t>Trazabilidad y numero</t>
  </si>
  <si>
    <t>Lufft Opus 20</t>
  </si>
  <si>
    <t>Datos de la Balanza a Calibrar</t>
  </si>
  <si>
    <t>F1</t>
  </si>
  <si>
    <t>Datos de las Pesas Patrón</t>
  </si>
  <si>
    <t>Carga para Excentricidad g</t>
  </si>
  <si>
    <t>Carga para Repetibilidad g</t>
  </si>
  <si>
    <t>CMC Balanza</t>
  </si>
  <si>
    <t>M-015</t>
  </si>
  <si>
    <r>
      <t>m</t>
    </r>
    <r>
      <rPr>
        <vertAlign val="subscript"/>
        <sz val="11"/>
        <color theme="1"/>
        <rFont val="Arial"/>
        <family val="2"/>
      </rPr>
      <t>N (g)</t>
    </r>
  </si>
  <si>
    <t>DATOS DE LAS PESAS PATRÓN</t>
  </si>
  <si>
    <t>Juego de Pesas</t>
  </si>
  <si>
    <t xml:space="preserve">INM </t>
  </si>
  <si>
    <t>Mettler Toledo</t>
  </si>
  <si>
    <t>No identificado</t>
  </si>
  <si>
    <t>0,22.0714.0802.024</t>
  </si>
  <si>
    <t>INM 1997</t>
  </si>
  <si>
    <t>INM 2147</t>
  </si>
  <si>
    <t>0,26.0714.0802.024</t>
  </si>
  <si>
    <t>INM 2148</t>
  </si>
  <si>
    <t>CDT CERT-16-EMP-1057-2567</t>
  </si>
  <si>
    <t>0,23.0714.0802.024</t>
  </si>
  <si>
    <t>Código interno</t>
  </si>
  <si>
    <t xml:space="preserve">División de Escala (d)                  en (g)  </t>
  </si>
  <si>
    <t xml:space="preserve">Escalón de Verificación     en  (g)  </t>
  </si>
  <si>
    <t>Cargas para Error de Indicación (Exactitud)                                         según certificado</t>
  </si>
  <si>
    <t>Marcación de la pesa</t>
  </si>
  <si>
    <t>Indicación (g)</t>
  </si>
  <si>
    <t>s máxima (mg)</t>
  </si>
  <si>
    <t>Indicación 2(g)</t>
  </si>
  <si>
    <r>
      <t>Densidad del aire kg/m</t>
    </r>
    <r>
      <rPr>
        <b/>
        <vertAlign val="superscript"/>
        <sz val="12"/>
        <rFont val="Arial"/>
        <family val="2"/>
      </rPr>
      <t>3</t>
    </r>
  </si>
  <si>
    <t>ERROR (g)</t>
  </si>
  <si>
    <t>Carga máx. (g)</t>
  </si>
  <si>
    <t>DATOS TERMOHIGRÓMETRO - BARÓMETRO</t>
  </si>
  <si>
    <t>Fecha Certificado</t>
  </si>
  <si>
    <t>M-010</t>
  </si>
  <si>
    <t>Incertidumbre   U=(k=2)</t>
  </si>
  <si>
    <t xml:space="preserve">M-012  </t>
  </si>
  <si>
    <t>°C</t>
  </si>
  <si>
    <t>hPa</t>
  </si>
  <si>
    <t>Temperatura</t>
  </si>
  <si>
    <t>Humedad</t>
  </si>
  <si>
    <t xml:space="preserve">  V-002 </t>
  </si>
  <si>
    <t xml:space="preserve">M-012 </t>
  </si>
  <si>
    <t xml:space="preserve">M-013 </t>
  </si>
  <si>
    <t xml:space="preserve">M-010 </t>
  </si>
  <si>
    <t xml:space="preserve">M-011 </t>
  </si>
  <si>
    <t>V-002</t>
  </si>
  <si>
    <t xml:space="preserve">M-013  </t>
  </si>
  <si>
    <t>M-011</t>
  </si>
  <si>
    <t>INCERTIDUMBRE EXPANDIDA (g)</t>
  </si>
  <si>
    <t>K</t>
  </si>
  <si>
    <t>Nivel de Confianza</t>
  </si>
  <si>
    <r>
      <t xml:space="preserve">Hora </t>
    </r>
    <r>
      <rPr>
        <b/>
        <sz val="12"/>
        <rFont val="Arial"/>
        <family val="2"/>
      </rPr>
      <t>final</t>
    </r>
  </si>
  <si>
    <t>Hora inicial</t>
  </si>
  <si>
    <t>U (E)  (g) =</t>
  </si>
  <si>
    <t>masa para completar la carga  Max (g)</t>
  </si>
  <si>
    <t>HOJA DE CÁLCULO PARA CALIBRACIÓN DE BALANZAS</t>
  </si>
  <si>
    <t>Metrólogo</t>
  </si>
  <si>
    <t>INM</t>
  </si>
  <si>
    <t>R (mg)</t>
  </si>
  <si>
    <t>E (R)  (g) =</t>
  </si>
  <si>
    <t>Patrón Utilizado en la Calibración - Termo higrómetros</t>
  </si>
  <si>
    <t>Código Interno</t>
  </si>
  <si>
    <t>Presión Atmosférica</t>
  </si>
  <si>
    <t>Metrólogos</t>
  </si>
  <si>
    <t>Carga Max (g)</t>
  </si>
  <si>
    <t xml:space="preserve">División de Escala (d)  (g)  </t>
  </si>
  <si>
    <t>N °  Certificado Adherido</t>
  </si>
  <si>
    <t xml:space="preserve">Solicitante                    </t>
  </si>
  <si>
    <t>INCERTIDUMBRE ESTÁNDAR MASA DE REFERENCIA   (mg)</t>
  </si>
  <si>
    <t>INCERTIDUMBRE ESTÁNDAR DEL ERROR   (mg)</t>
  </si>
  <si>
    <t>Antes de Ajuste</t>
  </si>
  <si>
    <t>La prueba consiste en la colocación repetitiva de la misma carga en el receptor de carga, bajo condiciones idénticas de manejo de la carga y del instrumento, y bajo las mismas condiciones de prueba, tanto como sea posible. Esta prueba fue realizada según numeral 5,1. de la Guía SIM MWG7/cg-01/v.00.</t>
  </si>
  <si>
    <t>Después de Ajuste</t>
  </si>
  <si>
    <t xml:space="preserve"> PRUEBA DE EXCENTRICIDAD</t>
  </si>
  <si>
    <t xml:space="preserve">  PRUEBA DE REPETIBILIDAD</t>
  </si>
  <si>
    <t>PRUEBA DE ERROR DE INDICACIÓN</t>
  </si>
  <si>
    <t>+</t>
  </si>
  <si>
    <t>REPETICIÓN. N°</t>
  </si>
  <si>
    <t xml:space="preserve"> Certificado N°</t>
  </si>
  <si>
    <t xml:space="preserve"> Fecha de elaboración: </t>
  </si>
  <si>
    <t>DESPUÉS DE AJUSTE</t>
  </si>
  <si>
    <t>°C m</t>
  </si>
  <si>
    <t>°C b</t>
  </si>
  <si>
    <t>hPa m</t>
  </si>
  <si>
    <t>hPa b</t>
  </si>
  <si>
    <t xml:space="preserve"> Metrólogo de Masa y Volumen</t>
  </si>
  <si>
    <t>E2   2 g AKJ</t>
  </si>
  <si>
    <t>E2   20 g AKA</t>
  </si>
  <si>
    <t>E2   200 g ALW</t>
  </si>
  <si>
    <t>E2   2000 g ABY</t>
  </si>
  <si>
    <t>u (mg)</t>
  </si>
  <si>
    <t>Intervalo de Medición (g) e incertidumbre expandida U</t>
  </si>
  <si>
    <t>Masa  Convencional (g)</t>
  </si>
  <si>
    <t>Error de Indicación en (g)</t>
  </si>
  <si>
    <t>Indicación 1 (g)</t>
  </si>
  <si>
    <t>Incertidumbre dominante</t>
  </si>
  <si>
    <t>SI</t>
  </si>
  <si>
    <t>≤ 0,3</t>
  </si>
  <si>
    <t>Resultado</t>
  </si>
  <si>
    <r>
      <rPr>
        <b/>
        <i/>
        <sz val="12"/>
        <rFont val="Tahoma"/>
        <family val="2"/>
      </rPr>
      <t>≥</t>
    </r>
    <r>
      <rPr>
        <b/>
        <i/>
        <sz val="12"/>
        <rFont val="Arial"/>
        <family val="2"/>
      </rPr>
      <t xml:space="preserve"> 0,3</t>
    </r>
  </si>
  <si>
    <t>Condicional incertidumbre dominante</t>
  </si>
  <si>
    <t>1.   INFORMACIÓN DEL EQUIPO SOMETIDO A CALIBRACIÓN</t>
  </si>
  <si>
    <t>2.   LUGAR Y DIRECCIÓN DE CALIBRACIÓN</t>
  </si>
  <si>
    <t>3.   CÓDIGO INTERNO</t>
  </si>
  <si>
    <t>4. MÉTODO DE CALIBRACIÓN UTILIZADO</t>
  </si>
  <si>
    <t>Propiedad de un resultado de medida por la cual el resultado puede relacionarse con una referencia mediante una cadena ininterrumpida y documentada de calibraciones, cada una de las cuales contribuye a la incertidumbre de medida.</t>
  </si>
  <si>
    <t>7.   RESULTADOS DE LA CALIBRACIÓN</t>
  </si>
  <si>
    <t>DIF MAX EXC</t>
  </si>
  <si>
    <t xml:space="preserve">8.   INCERTIDUMBRE EXPANDIDA DE LOS ERRORES   </t>
  </si>
  <si>
    <t>9.   OBSERVACIONES</t>
  </si>
  <si>
    <t>U (g)    =</t>
  </si>
  <si>
    <t>Firma Autorizada</t>
  </si>
  <si>
    <t>Calibrado por:</t>
  </si>
  <si>
    <t>Nombre del Metrólogo</t>
  </si>
  <si>
    <t>±U (g)</t>
  </si>
  <si>
    <t>6.   TRAZABILIDAD METROLÓGICA</t>
  </si>
  <si>
    <t>Intervalo</t>
  </si>
  <si>
    <t>Clase de Pesas</t>
  </si>
  <si>
    <t>Pesas Utilizadas</t>
  </si>
  <si>
    <t>No. Certificado</t>
  </si>
  <si>
    <t>Objeto:</t>
  </si>
  <si>
    <t xml:space="preserve">Fabricante: </t>
  </si>
  <si>
    <t>Modelo:</t>
  </si>
  <si>
    <t xml:space="preserve">Carga Máx.:                      </t>
  </si>
  <si>
    <t xml:space="preserve">Carga Mín.:                       </t>
  </si>
  <si>
    <t xml:space="preserve">División de escala:         </t>
  </si>
  <si>
    <t xml:space="preserve">Escalón de verificación: </t>
  </si>
  <si>
    <t>INM 3998</t>
  </si>
  <si>
    <t>INM 4006</t>
  </si>
  <si>
    <t>INM 2313</t>
  </si>
  <si>
    <t>INM 3997</t>
  </si>
  <si>
    <t>INM 4005</t>
  </si>
  <si>
    <t>INM 2316</t>
  </si>
  <si>
    <t>INM-3997, INM 4005 - INM 2316</t>
  </si>
  <si>
    <t>INM 3985</t>
  </si>
  <si>
    <t>INM 3987</t>
  </si>
  <si>
    <t>INM - 2314</t>
  </si>
  <si>
    <t>INM 3985 - INM 3987 -   INM 2314</t>
  </si>
  <si>
    <t>INM 3986</t>
  </si>
  <si>
    <t>INM 3988</t>
  </si>
  <si>
    <t>INM 2315</t>
  </si>
  <si>
    <t>INM-39864-INM 3988-INM 2315</t>
  </si>
  <si>
    <t>Esta prueba evalúa las indicaciones de una misma carga ubicada en diferentes posiciones del receptor de carga (figura 1), se realizó con las indicaciones consideradas por el fabricante de acuerdo a la Guía SIM MWG7/cg-01/v.00, numeral 5.3.</t>
  </si>
  <si>
    <t>Lugar y dirección de Calibración</t>
  </si>
  <si>
    <t>En la calibración se utilizó el método establecido en el documento normativo guía para la calibración de los instrumentos para pesaje de funcionamiento no automático (SIM MWG7/cg-01v.00) .</t>
  </si>
  <si>
    <t>V 1 RL.  5 g</t>
  </si>
  <si>
    <t>V 1 RL.  200 g</t>
  </si>
  <si>
    <t>V 1 RL.  1 kg</t>
  </si>
  <si>
    <t>V 1 RL.  2 kg</t>
  </si>
  <si>
    <t>V 1 RL.  5 kg</t>
  </si>
  <si>
    <t xml:space="preserve">V 2 RL.  1 g  </t>
  </si>
  <si>
    <t xml:space="preserve">V 2 RL. 2 g  </t>
  </si>
  <si>
    <t xml:space="preserve">V 2 RL.  2 g punto </t>
  </si>
  <si>
    <t xml:space="preserve">V 2 RL.  5 g  </t>
  </si>
  <si>
    <t xml:space="preserve">V 2 RL.  10 g  </t>
  </si>
  <si>
    <t xml:space="preserve">V 2 RL.  20 g  </t>
  </si>
  <si>
    <t xml:space="preserve">V 2 RL. 20 g punto </t>
  </si>
  <si>
    <t xml:space="preserve">V 2 RL. 50 g  </t>
  </si>
  <si>
    <t xml:space="preserve">V 2 RL.  100 g  </t>
  </si>
  <si>
    <t xml:space="preserve">V 2 RL.  200 g  </t>
  </si>
  <si>
    <t xml:space="preserve">V 2 RL.  200 g punto </t>
  </si>
  <si>
    <t xml:space="preserve">V 2 RL.  500 g  </t>
  </si>
  <si>
    <t xml:space="preserve">V 2 RL.  1000 g  </t>
  </si>
  <si>
    <t xml:space="preserve">V 2 RL.  2000 g  </t>
  </si>
  <si>
    <t xml:space="preserve">V 2 RL.  2000 g punto </t>
  </si>
  <si>
    <t xml:space="preserve">V 2 RL.  5000 g  </t>
  </si>
  <si>
    <t>Juego viajeras  V2</t>
  </si>
  <si>
    <t>Juego Viajeras V1</t>
  </si>
  <si>
    <t>INM 4216</t>
  </si>
  <si>
    <t>INM 4217</t>
  </si>
  <si>
    <t>INM 2346</t>
  </si>
  <si>
    <t>INM 4216 - INM 4217 -  INM 2346</t>
  </si>
  <si>
    <t xml:space="preserve">Carga </t>
  </si>
  <si>
    <t>Valor Nominal</t>
  </si>
  <si>
    <t>Carga Baja</t>
  </si>
  <si>
    <t>La declaración de conformidad se aplica a los resultados obtenidos en la prueba de error de indicación, después de ajuste, teniendo en cuenta que el error, más la incertidumbre de medición, no deberá superar el error máximo permitido (EMP), según lo definido en los numerales 3.5.1 - 3.5.2 y 8.4.2 de la norma  NTC 2031:2014.</t>
  </si>
  <si>
    <t xml:space="preserve">Cumple </t>
  </si>
  <si>
    <t>SI/NO</t>
  </si>
  <si>
    <t>Dirección del Solicitante</t>
  </si>
  <si>
    <t>Código interno  (# de Radicado)</t>
  </si>
  <si>
    <t>FIRMAS AUTORIZADAS:</t>
  </si>
  <si>
    <t>………………………..FIN DE ESTE DOCUMENTO………………………..</t>
  </si>
  <si>
    <t>Carga Media</t>
  </si>
  <si>
    <t xml:space="preserve"> Modificación del certificado N°</t>
  </si>
  <si>
    <r>
      <t xml:space="preserve">Prueba de error de indicación </t>
    </r>
    <r>
      <rPr>
        <sz val="10"/>
        <color theme="1"/>
        <rFont val="Arial"/>
        <family val="2"/>
      </rPr>
      <t>(redondeo de la indicación sin carga</t>
    </r>
    <r>
      <rPr>
        <b/>
        <sz val="10"/>
        <color theme="1"/>
        <rFont val="Arial"/>
        <family val="2"/>
      </rPr>
      <t>)</t>
    </r>
  </si>
  <si>
    <t>Grados efectivos de libertad Ʋ= n-3</t>
  </si>
  <si>
    <r>
      <rPr>
        <b/>
        <sz val="9"/>
        <color theme="1"/>
        <rFont val="Arial"/>
        <family val="2"/>
      </rPr>
      <t xml:space="preserve">Prueba de error de indicación </t>
    </r>
    <r>
      <rPr>
        <sz val="9"/>
        <color theme="1"/>
        <rFont val="Arial"/>
        <family val="2"/>
      </rPr>
      <t>(redondeo de la indicación con carga)</t>
    </r>
  </si>
  <si>
    <t>k</t>
  </si>
  <si>
    <t>SC</t>
  </si>
  <si>
    <t xml:space="preserve">Escalón de Verificación en  (g)  </t>
  </si>
  <si>
    <t>Responsable de la Dirección Técnica</t>
  </si>
  <si>
    <t xml:space="preserve">  Sustituto del Responsable de la Dirección Técnica</t>
  </si>
  <si>
    <t>Stivinson Córdoba Sánchez</t>
  </si>
  <si>
    <r>
      <rPr>
        <b/>
        <sz val="12"/>
        <rFont val="Tahoma"/>
        <family val="2"/>
      </rPr>
      <t>±</t>
    </r>
    <r>
      <rPr>
        <b/>
        <sz val="12"/>
        <rFont val="Arial"/>
        <family val="2"/>
      </rPr>
      <t>(EMP) en Uso</t>
    </r>
  </si>
  <si>
    <t>I</t>
  </si>
  <si>
    <t>E</t>
  </si>
  <si>
    <t xml:space="preserve">u </t>
  </si>
  <si>
    <t>Masa Convencional Anterior (g)</t>
  </si>
  <si>
    <t>Masa Convencional Actual (g)</t>
  </si>
  <si>
    <t>Fecha de calibración Actual</t>
  </si>
  <si>
    <t>Certificado Actual</t>
  </si>
  <si>
    <t>Error (mg) Año Anterior</t>
  </si>
  <si>
    <t>incertidumbre  por empuje</t>
  </si>
  <si>
    <t>incertidumbre por  deriva</t>
  </si>
  <si>
    <r>
      <t>P*(a</t>
    </r>
    <r>
      <rPr>
        <b/>
        <i/>
        <vertAlign val="subscript"/>
        <sz val="11"/>
        <color theme="1"/>
        <rFont val="Arial"/>
        <family val="2"/>
      </rPr>
      <t>1</t>
    </r>
    <r>
      <rPr>
        <b/>
        <i/>
        <sz val="11"/>
        <color theme="1"/>
        <rFont val="Arial"/>
        <family val="2"/>
      </rPr>
      <t>* l - E)</t>
    </r>
    <r>
      <rPr>
        <b/>
        <i/>
        <vertAlign val="superscript"/>
        <sz val="11"/>
        <color theme="1"/>
        <rFont val="Arial"/>
        <family val="2"/>
      </rPr>
      <t>2</t>
    </r>
  </si>
  <si>
    <r>
      <t>u</t>
    </r>
    <r>
      <rPr>
        <b/>
        <i/>
        <vertAlign val="superscript"/>
        <sz val="11"/>
        <color theme="1"/>
        <rFont val="Arial"/>
        <family val="2"/>
      </rPr>
      <t>2</t>
    </r>
    <r>
      <rPr>
        <b/>
        <i/>
        <sz val="11"/>
        <color theme="1"/>
        <rFont val="Arial"/>
        <family val="2"/>
      </rPr>
      <t>(a</t>
    </r>
    <r>
      <rPr>
        <b/>
        <i/>
        <vertAlign val="subscript"/>
        <sz val="11"/>
        <color theme="1"/>
        <rFont val="Arial"/>
        <family val="2"/>
      </rPr>
      <t>1</t>
    </r>
    <r>
      <rPr>
        <b/>
        <i/>
        <sz val="11"/>
        <color theme="1"/>
        <rFont val="Arial"/>
        <family val="2"/>
      </rPr>
      <t>) =</t>
    </r>
  </si>
  <si>
    <r>
      <t>u</t>
    </r>
    <r>
      <rPr>
        <b/>
        <i/>
        <vertAlign val="superscript"/>
        <sz val="11"/>
        <color theme="1"/>
        <rFont val="Arial"/>
        <family val="2"/>
      </rPr>
      <t>2</t>
    </r>
    <r>
      <rPr>
        <b/>
        <i/>
        <sz val="11"/>
        <color theme="1"/>
        <rFont val="Arial"/>
        <family val="2"/>
      </rPr>
      <t>(R( ecc))=</t>
    </r>
  </si>
  <si>
    <r>
      <t>u (E</t>
    </r>
    <r>
      <rPr>
        <b/>
        <i/>
        <vertAlign val="subscript"/>
        <sz val="11"/>
        <color theme="1"/>
        <rFont val="Arial"/>
        <family val="2"/>
      </rPr>
      <t>appr</t>
    </r>
    <r>
      <rPr>
        <b/>
        <i/>
        <sz val="11"/>
        <color theme="1"/>
        <rFont val="Arial"/>
        <family val="2"/>
      </rPr>
      <t>)</t>
    </r>
  </si>
  <si>
    <r>
      <t>U(E</t>
    </r>
    <r>
      <rPr>
        <b/>
        <i/>
        <vertAlign val="subscript"/>
        <sz val="11"/>
        <color theme="1"/>
        <rFont val="Arial"/>
        <family val="2"/>
      </rPr>
      <t>appr</t>
    </r>
    <r>
      <rPr>
        <b/>
        <i/>
        <sz val="11"/>
        <color theme="1"/>
        <rFont val="Arial"/>
        <family val="2"/>
      </rPr>
      <t>)</t>
    </r>
  </si>
  <si>
    <t>R</t>
  </si>
  <si>
    <t>U(Eappr) Reportar</t>
  </si>
  <si>
    <t>RELATIVA</t>
  </si>
  <si>
    <r>
      <t>Min chi</t>
    </r>
    <r>
      <rPr>
        <b/>
        <vertAlign val="superscript"/>
        <sz val="14"/>
        <color theme="0"/>
        <rFont val="Arial"/>
        <family val="2"/>
      </rPr>
      <t>2</t>
    </r>
  </si>
  <si>
    <r>
      <t>APROXIMACIÓN POR LÍNEA RECTA QUE CRUZA EN CERO   E</t>
    </r>
    <r>
      <rPr>
        <b/>
        <vertAlign val="subscript"/>
        <sz val="10"/>
        <color theme="1"/>
        <rFont val="Arial"/>
        <family val="2"/>
      </rPr>
      <t>appr</t>
    </r>
  </si>
  <si>
    <r>
      <t>n</t>
    </r>
    <r>
      <rPr>
        <b/>
        <vertAlign val="subscript"/>
        <sz val="14"/>
        <color theme="0"/>
        <rFont val="Arial"/>
        <family val="2"/>
      </rPr>
      <t>a</t>
    </r>
  </si>
  <si>
    <r>
      <t>n</t>
    </r>
    <r>
      <rPr>
        <b/>
        <vertAlign val="subscript"/>
        <sz val="14"/>
        <color theme="0"/>
        <rFont val="Arial"/>
        <family val="2"/>
      </rPr>
      <t>par</t>
    </r>
  </si>
  <si>
    <t xml:space="preserve">5.   CONDICIONES AMBIENTALES  </t>
  </si>
  <si>
    <t>Humedad relativa (%hr)</t>
  </si>
  <si>
    <t>Adimensional</t>
  </si>
  <si>
    <t>U % Relativa</t>
  </si>
  <si>
    <t>MAX</t>
  </si>
  <si>
    <t>MIN</t>
  </si>
  <si>
    <t>Masa  Nominal (g)</t>
  </si>
  <si>
    <t>GU 3.3-01 GUIA PARA LA EXPRESIÓN DE LA INCERDIDUMBRE DE LA MEDICIÓN EN LOS ALCANCES PARA LA CALIBRACIÓN DE INSTRUMENTOS DE PESAJE DE FUNCIONAMIENTO NO AUTOMATICO (IPFNA)</t>
  </si>
  <si>
    <t>CALIBRACIÓN EN LABORATORIO SIC</t>
  </si>
  <si>
    <t>U % RELATIVA</t>
  </si>
  <si>
    <t>Pesas para carga maxima (g) F1</t>
  </si>
  <si>
    <t>EMP (OIML R 111-1) (mg) F1</t>
  </si>
  <si>
    <t>gramos</t>
  </si>
  <si>
    <t>U % Relativa Aproximada formula</t>
  </si>
  <si>
    <t xml:space="preserve">INCERTIDUMBRE EXPANDIDA DE LOS ERRORES APROXIMADOS  U(Eappr)     </t>
  </si>
  <si>
    <t>CMC % Relativa</t>
  </si>
  <si>
    <t>CMC Con respecto EMP Masa Patron (g)</t>
  </si>
  <si>
    <t>ERROR DE INDICACIÓN</t>
  </si>
  <si>
    <t>Error (mg) Año Actual</t>
  </si>
  <si>
    <t>Deriva  (mg)</t>
  </si>
  <si>
    <t>Factor de cobertura según certificado k=</t>
  </si>
  <si>
    <t>Promedio Condiciones Ambientales Corregidas Finales</t>
  </si>
  <si>
    <t>Promedio Condiciones Ambientales Corregidas  Iniciales</t>
  </si>
  <si>
    <t>Condiciones ambientales  iniciales</t>
  </si>
  <si>
    <t>Condiciones ambientales  finales</t>
  </si>
  <si>
    <t xml:space="preserve">INCERTIDUMBRE EXPANDIDA RELATIVA % </t>
  </si>
  <si>
    <t xml:space="preserve">INCERTIDUMBRE EXPANDIDA (mg) </t>
  </si>
  <si>
    <t>FACTOR DE COBERTURA CALCULADO</t>
  </si>
  <si>
    <t>"+"(EMP) en Uso</t>
  </si>
  <si>
    <t>"-"(EMP) en Uso</t>
  </si>
  <si>
    <t>Aporte a la Incertidumbre %</t>
  </si>
  <si>
    <t>k=1,65</t>
  </si>
  <si>
    <t>k= 2,0</t>
  </si>
  <si>
    <t>"La incertidumbre expandida de la medición reportada se establece como la incertidumbre estándar de medición multiplicada por el factor de cobertura "k",y la probabilidad de cobertura,  la cual debe ser aproximada al 95% y no menor a este valor".</t>
  </si>
  <si>
    <t>% hr</t>
  </si>
  <si>
    <t>% hr m</t>
  </si>
  <si>
    <t>% hr b</t>
  </si>
  <si>
    <r>
      <t xml:space="preserve">Unidades en   " °C , % hr  </t>
    </r>
    <r>
      <rPr>
        <sz val="14"/>
        <color theme="0"/>
        <rFont val="Arial"/>
        <family val="2"/>
      </rPr>
      <t>y</t>
    </r>
    <r>
      <rPr>
        <b/>
        <sz val="14"/>
        <color theme="0"/>
        <rFont val="Arial"/>
        <family val="2"/>
      </rPr>
      <t xml:space="preserve"> hPa " </t>
    </r>
    <r>
      <rPr>
        <sz val="14"/>
        <color theme="0"/>
        <rFont val="Arial"/>
        <family val="2"/>
      </rPr>
      <t xml:space="preserve"> según corresponda</t>
    </r>
  </si>
  <si>
    <t>2019-05-21 / 2019-05-23 / 2019-05-15</t>
  </si>
  <si>
    <t xml:space="preserve">2019-09-24  / 2019-09-25  / 2019-08-25 </t>
  </si>
  <si>
    <t>2019-05-14 / 2019-05-15 / 2019-05-15</t>
  </si>
  <si>
    <t>INM  3998 - INM 4006 - INM 2313</t>
  </si>
  <si>
    <t>Atestamiento ONAC</t>
  </si>
  <si>
    <t>Carrera 50 # 26-55 int 2 piso 5</t>
  </si>
  <si>
    <t>LCB-20-XXX</t>
  </si>
  <si>
    <t>LCB-001-20 ONAC</t>
  </si>
  <si>
    <t>MSE8201S-000-D0</t>
  </si>
  <si>
    <t>V 1 RL.  8200 kg</t>
  </si>
  <si>
    <t>ERROR DE INDICACIÓN   Después de Ajuste (mg)</t>
  </si>
  <si>
    <t>ERROR DE INDICACIÓN Después de Ajuste  (g)</t>
  </si>
  <si>
    <t>según certificado pesas patrón</t>
  </si>
  <si>
    <r>
      <t xml:space="preserve">5 g </t>
    </r>
    <r>
      <rPr>
        <sz val="9"/>
        <rFont val="Tahoma"/>
        <family val="2"/>
      </rPr>
      <t>≤</t>
    </r>
    <r>
      <rPr>
        <sz val="9"/>
        <rFont val="Arial"/>
        <family val="2"/>
      </rPr>
      <t xml:space="preserve"> m ≤   5 000 g</t>
    </r>
  </si>
  <si>
    <r>
      <t xml:space="preserve">5 000 g </t>
    </r>
    <r>
      <rPr>
        <sz val="9"/>
        <rFont val="Tahoma"/>
        <family val="2"/>
      </rPr>
      <t>≤</t>
    </r>
    <r>
      <rPr>
        <sz val="9"/>
        <rFont val="Arial"/>
        <family val="2"/>
      </rPr>
      <t xml:space="preserve"> m ≤ 8 200 g</t>
    </r>
  </si>
  <si>
    <r>
      <t>APROXIMACIÓN POR LÍNEA RECTA QUE CRUZA EN CERO   E</t>
    </r>
    <r>
      <rPr>
        <b/>
        <vertAlign val="subscript"/>
        <sz val="10"/>
        <rFont val="Arial"/>
        <family val="2"/>
      </rPr>
      <t>(appr)</t>
    </r>
  </si>
  <si>
    <r>
      <rPr>
        <b/>
        <sz val="9"/>
        <rFont val="Arial"/>
        <family val="2"/>
      </rPr>
      <t>NOTA</t>
    </r>
    <r>
      <rPr>
        <sz val="9"/>
        <rFont val="Arial"/>
        <family val="2"/>
      </rPr>
      <t>: Las condiciones ambientales se refieren al sitio y al momento de la calibración.</t>
    </r>
  </si>
  <si>
    <t>Humedad relativa (% hr)</t>
  </si>
  <si>
    <t>* Los resultados obtenidos en el presente certificado se refieren al momento y condiciones en que se realizaron las mediciones.</t>
  </si>
  <si>
    <t>*Los laboratorios de la Superintendencia de Industria y Comercio no se responsabilizan de los perjuicios que puedan derivarse del uso inadecuado del equipo calibrado.</t>
  </si>
  <si>
    <t>* Se adhiere al equipo calibrado una estampilla identificada con el número del certificado.</t>
  </si>
  <si>
    <t>* En el presente certificado se usa la coma (,) como separador decimal.</t>
  </si>
  <si>
    <t>* Este certificado de calibración no puede ser reproducido parcial ni totalmente, excepto con la autorización del Laboratorio de la Superintendencia de   Industria y Comercio.</t>
  </si>
  <si>
    <t>* El certificado de calibración sin las firmas autorizadas no es válido.</t>
  </si>
  <si>
    <t>* Los resultados de la calibración son trazables al Sistema Internacional (SI).</t>
  </si>
  <si>
    <t>Bogotá D.C</t>
  </si>
  <si>
    <t>Masa convencional actual (-) Masa convencional Anterior</t>
  </si>
  <si>
    <t>* La incertidumbre estándar de medición se multiplica por un factor de cobertura "k"=2</t>
  </si>
  <si>
    <t>* Los resultados obtenidos en esta calibración, aplican a la información del equipo descrito en el numeral uno (1)     del presente certificado.</t>
  </si>
  <si>
    <r>
      <t xml:space="preserve">* Las fórmulas reportadas en el numeral 8 del presente certificado, se determinan de acuerdo a los lineamientos del apéndice C de la guía SIM MWG7/cg-01/v.00, donde </t>
    </r>
    <r>
      <rPr>
        <b/>
        <i/>
        <sz val="12"/>
        <color theme="0"/>
        <rFont val="Arial"/>
        <family val="2"/>
      </rPr>
      <t xml:space="preserve">R </t>
    </r>
    <r>
      <rPr>
        <sz val="12"/>
        <color theme="0"/>
        <rFont val="Arial"/>
        <family val="2"/>
      </rPr>
      <t>es la carga de prueba</t>
    </r>
    <r>
      <rPr>
        <i/>
        <sz val="12"/>
        <color theme="0"/>
        <rFont val="Arial"/>
        <family val="2"/>
      </rPr>
      <t xml:space="preserve">, </t>
    </r>
    <r>
      <rPr>
        <b/>
        <i/>
        <sz val="12"/>
        <color theme="0"/>
        <rFont val="Arial"/>
        <family val="2"/>
      </rPr>
      <t xml:space="preserve">E (R) </t>
    </r>
    <r>
      <rPr>
        <sz val="12"/>
        <color theme="0"/>
        <rFont val="Arial"/>
        <family val="2"/>
      </rPr>
      <t>es error de una indicación</t>
    </r>
    <r>
      <rPr>
        <i/>
        <sz val="12"/>
        <color theme="0"/>
        <rFont val="Arial"/>
        <family val="2"/>
      </rPr>
      <t xml:space="preserve"> y </t>
    </r>
    <r>
      <rPr>
        <b/>
        <i/>
        <sz val="12"/>
        <color theme="0"/>
        <rFont val="Arial"/>
        <family val="2"/>
      </rPr>
      <t>U</t>
    </r>
    <r>
      <rPr>
        <i/>
        <sz val="12"/>
        <color theme="0"/>
        <rFont val="Arial"/>
        <family val="2"/>
      </rPr>
      <t xml:space="preserve"> </t>
    </r>
    <r>
      <rPr>
        <sz val="12"/>
        <color theme="0"/>
        <rFont val="Arial"/>
        <family val="2"/>
      </rPr>
      <t>es la incertidumbre expandida del error aproximado.</t>
    </r>
  </si>
  <si>
    <t>APROXIMACIÓN POR LÍNEA RECTA QUE CRUZA POR CERO PARA EL ERROR   (mg)</t>
  </si>
  <si>
    <t>Número de serie:</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</si>
</sst>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 numFmtId="172" formatCode="0.00000000"/>
    <numFmt numFmtId="173" formatCode="0.000E+00"/>
    <numFmt numFmtId="174" formatCode="0_ &quot;g&quot;"/>
    <numFmt numFmtId="175" formatCode="h:mm:ss;@"/>
    <numFmt numFmtId="176" formatCode="0_ &quot;mN&quot;"/>
    <numFmt numFmtId="177" formatCode="#,##0.0"/>
    <numFmt numFmtId="178" formatCode="#,##0.000"/>
    <numFmt numFmtId="179" formatCode="0.000_ &quot;g&quot;"/>
    <numFmt numFmtId="180" formatCode="0\ 000.0000"/>
    <numFmt numFmtId="181" formatCode="0\ 000"/>
    <numFmt numFmtId="182" formatCode="0\ 000\ .0"/>
    <numFmt numFmtId="183" formatCode="0\ 000.00000"/>
    <numFmt numFmtId="184" formatCode="0\ 000.00"/>
    <numFmt numFmtId="185" formatCode="\ 0\ 000\ 000.00"/>
    <numFmt numFmtId="186" formatCode="\ 0\ 000.0"/>
    <numFmt numFmtId="187" formatCode="#\ ##0"/>
    <numFmt numFmtId="188" formatCode="0.0_ &quot;g&quot;"/>
    <numFmt numFmtId="189" formatCode="0.\ 000\ &quot;g&quot;"/>
    <numFmt numFmtId="190" formatCode="0\ 000\ &quot;g&quot;"/>
    <numFmt numFmtId="191" formatCode="#\ ##0\ .0000"/>
    <numFmt numFmtId="192" formatCode="#\ ##0.0"/>
    <numFmt numFmtId="193" formatCode="##\ ##0.0"/>
    <numFmt numFmtId="194" formatCode="###\ ##0.0"/>
    <numFmt numFmtId="195" formatCode="#.\ ##0;\-#"/>
    <numFmt numFmtId="196" formatCode="0.0000E+00"/>
  </numFmts>
  <fonts count="67" x14ac:knownFonts="1">
    <font>
      <sz val="11"/>
      <color theme="1"/>
      <name val="Calibri"/>
      <family val="2"/>
      <scheme val="minor"/>
    </font>
    <font>
      <sz val="11"/>
      <color theme="1"/>
      <name val="Calibri"/>
      <family val="2"/>
      <scheme val="minor"/>
    </font>
    <font>
      <sz val="11"/>
      <color rgb="FF006100"/>
      <name val="Calibri"/>
      <family val="2"/>
      <scheme val="minor"/>
    </font>
    <font>
      <b/>
      <sz val="16"/>
      <name val="Arial"/>
      <family val="2"/>
    </font>
    <font>
      <b/>
      <sz val="10"/>
      <color theme="1"/>
      <name val="Arial"/>
      <family val="2"/>
    </font>
    <font>
      <sz val="10"/>
      <color theme="1"/>
      <name val="Arial"/>
      <family val="2"/>
    </font>
    <font>
      <sz val="12"/>
      <color theme="1"/>
      <name val="Arial"/>
      <family val="2"/>
    </font>
    <font>
      <sz val="11"/>
      <color theme="1"/>
      <name val="Arial"/>
      <family val="2"/>
    </font>
    <font>
      <b/>
      <sz val="11"/>
      <name val="Arial"/>
      <family val="2"/>
    </font>
    <font>
      <sz val="11"/>
      <name val="Arial"/>
      <family val="2"/>
    </font>
    <font>
      <b/>
      <sz val="11"/>
      <color theme="0"/>
      <name val="Arial"/>
      <family val="2"/>
    </font>
    <font>
      <vertAlign val="subscript"/>
      <sz val="11"/>
      <name val="Arial"/>
      <family val="2"/>
    </font>
    <font>
      <vertAlign val="subscript"/>
      <sz val="11"/>
      <color theme="1"/>
      <name val="Arial"/>
      <family val="2"/>
    </font>
    <font>
      <b/>
      <sz val="11"/>
      <color theme="1"/>
      <name val="Arial"/>
      <family val="2"/>
    </font>
    <font>
      <sz val="11"/>
      <color theme="0"/>
      <name val="Arial"/>
      <family val="2"/>
    </font>
    <font>
      <sz val="10"/>
      <color theme="0"/>
      <name val="Arial"/>
      <family val="2"/>
    </font>
    <font>
      <b/>
      <sz val="11"/>
      <color theme="0" tint="-4.9989318521683403E-2"/>
      <name val="Arial"/>
      <family val="2"/>
    </font>
    <font>
      <b/>
      <sz val="10"/>
      <name val="Arial"/>
      <family val="2"/>
    </font>
    <font>
      <b/>
      <i/>
      <sz val="11"/>
      <color theme="1"/>
      <name val="Arial"/>
      <family val="2"/>
    </font>
    <font>
      <b/>
      <i/>
      <vertAlign val="superscript"/>
      <sz val="11"/>
      <color theme="1"/>
      <name val="Arial"/>
      <family val="2"/>
    </font>
    <font>
      <b/>
      <i/>
      <sz val="11"/>
      <color theme="0"/>
      <name val="Arial"/>
      <family val="2"/>
    </font>
    <font>
      <b/>
      <i/>
      <vertAlign val="subscript"/>
      <sz val="11"/>
      <color theme="0"/>
      <name val="Arial"/>
      <family val="2"/>
    </font>
    <font>
      <b/>
      <i/>
      <vertAlign val="subscript"/>
      <sz val="11"/>
      <color theme="1"/>
      <name val="Arial"/>
      <family val="2"/>
    </font>
    <font>
      <sz val="22"/>
      <color theme="0"/>
      <name val="Arial"/>
      <family val="2"/>
    </font>
    <font>
      <b/>
      <i/>
      <sz val="12"/>
      <color theme="1"/>
      <name val="Arial"/>
      <family val="2"/>
    </font>
    <font>
      <b/>
      <vertAlign val="superscript"/>
      <sz val="11"/>
      <name val="Arial"/>
      <family val="2"/>
    </font>
    <font>
      <b/>
      <sz val="14"/>
      <color theme="0"/>
      <name val="Arial"/>
      <family val="2"/>
    </font>
    <font>
      <b/>
      <sz val="12"/>
      <name val="Arial"/>
      <family val="2"/>
    </font>
    <font>
      <sz val="14"/>
      <color theme="0"/>
      <name val="Arial"/>
      <family val="2"/>
    </font>
    <font>
      <sz val="10"/>
      <name val="Arial"/>
      <family val="2"/>
    </font>
    <font>
      <sz val="12"/>
      <name val="Arial"/>
      <family val="2"/>
    </font>
    <font>
      <b/>
      <sz val="14"/>
      <name val="Arial"/>
      <family val="2"/>
    </font>
    <font>
      <b/>
      <vertAlign val="superscript"/>
      <sz val="12"/>
      <name val="Arial"/>
      <family val="2"/>
    </font>
    <font>
      <sz val="12"/>
      <name val="Arial Narrow"/>
      <family val="2"/>
    </font>
    <font>
      <b/>
      <sz val="10"/>
      <color theme="0"/>
      <name val="Arial"/>
      <family val="2"/>
    </font>
    <font>
      <b/>
      <sz val="9"/>
      <color theme="1"/>
      <name val="Arial"/>
      <family val="2"/>
    </font>
    <font>
      <b/>
      <i/>
      <sz val="11"/>
      <name val="Arial"/>
      <family val="2"/>
    </font>
    <font>
      <b/>
      <i/>
      <sz val="10"/>
      <color theme="1"/>
      <name val="Arial"/>
      <family val="2"/>
    </font>
    <font>
      <b/>
      <i/>
      <sz val="16"/>
      <name val="Arial"/>
      <family val="2"/>
    </font>
    <font>
      <i/>
      <sz val="11"/>
      <name val="Arial"/>
      <family val="2"/>
    </font>
    <font>
      <sz val="14"/>
      <color theme="1"/>
      <name val="Arial"/>
      <family val="2"/>
    </font>
    <font>
      <b/>
      <sz val="12"/>
      <color theme="0"/>
      <name val="Arial"/>
      <family val="2"/>
    </font>
    <font>
      <b/>
      <i/>
      <sz val="12"/>
      <name val="Arial"/>
      <family val="2"/>
    </font>
    <font>
      <b/>
      <i/>
      <sz val="12"/>
      <name val="Tahoma"/>
      <family val="2"/>
    </font>
    <font>
      <b/>
      <sz val="26"/>
      <name val="Arial"/>
      <family val="2"/>
    </font>
    <font>
      <b/>
      <i/>
      <sz val="12"/>
      <color theme="0"/>
      <name val="Arial"/>
      <family val="2"/>
    </font>
    <font>
      <b/>
      <sz val="12"/>
      <color theme="1"/>
      <name val="Arial"/>
      <family val="2"/>
    </font>
    <font>
      <sz val="9"/>
      <color theme="1"/>
      <name val="Arial"/>
      <family val="2"/>
    </font>
    <font>
      <sz val="12"/>
      <color theme="0"/>
      <name val="Arial"/>
      <family val="2"/>
    </font>
    <font>
      <sz val="9"/>
      <name val="Arial"/>
      <family val="2"/>
    </font>
    <font>
      <b/>
      <sz val="9"/>
      <name val="Arial"/>
      <family val="2"/>
    </font>
    <font>
      <b/>
      <sz val="12"/>
      <name val="Tahoma"/>
      <family val="2"/>
    </font>
    <font>
      <b/>
      <i/>
      <sz val="14"/>
      <name val="Arial"/>
      <family val="2"/>
    </font>
    <font>
      <b/>
      <sz val="8"/>
      <name val="Arial"/>
      <family val="2"/>
    </font>
    <font>
      <b/>
      <sz val="14"/>
      <color theme="1"/>
      <name val="Arial"/>
      <family val="2"/>
    </font>
    <font>
      <b/>
      <i/>
      <sz val="14"/>
      <color theme="0"/>
      <name val="Arial"/>
      <family val="2"/>
    </font>
    <font>
      <b/>
      <vertAlign val="superscript"/>
      <sz val="14"/>
      <color theme="0"/>
      <name val="Arial"/>
      <family val="2"/>
    </font>
    <font>
      <b/>
      <vertAlign val="subscript"/>
      <sz val="10"/>
      <color theme="1"/>
      <name val="Arial"/>
      <family val="2"/>
    </font>
    <font>
      <b/>
      <vertAlign val="subscript"/>
      <sz val="14"/>
      <color theme="0"/>
      <name val="Arial"/>
      <family val="2"/>
    </font>
    <font>
      <sz val="10"/>
      <color theme="1"/>
      <name val="Calibri"/>
      <family val="2"/>
      <scheme val="minor"/>
    </font>
    <font>
      <sz val="11"/>
      <color rgb="FFFF0000"/>
      <name val="Calibri"/>
      <family val="2"/>
      <scheme val="minor"/>
    </font>
    <font>
      <sz val="9"/>
      <color indexed="81"/>
      <name val="Tahoma"/>
      <family val="2"/>
    </font>
    <font>
      <b/>
      <sz val="9"/>
      <color indexed="81"/>
      <name val="Tahoma"/>
      <family val="2"/>
    </font>
    <font>
      <sz val="9"/>
      <name val="Tahoma"/>
      <family val="2"/>
    </font>
    <font>
      <b/>
      <vertAlign val="subscript"/>
      <sz val="10"/>
      <name val="Arial"/>
      <family val="2"/>
    </font>
    <font>
      <b/>
      <i/>
      <sz val="10"/>
      <name val="Arial"/>
      <family val="2"/>
    </font>
    <font>
      <i/>
      <sz val="12"/>
      <color theme="0"/>
      <name val="Arial"/>
      <family val="2"/>
    </font>
  </fonts>
  <fills count="2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rgb="FFDDEBF7"/>
        <bgColor indexed="64"/>
      </patternFill>
    </fill>
    <fill>
      <patternFill patternType="solid">
        <fgColor rgb="FF00B0F0"/>
        <bgColor indexed="64"/>
      </patternFill>
    </fill>
    <fill>
      <patternFill patternType="solid">
        <fgColor rgb="FFFFFFFF"/>
        <bgColor indexed="64"/>
      </patternFill>
    </fill>
    <fill>
      <patternFill patternType="solid">
        <fgColor rgb="FF0070C0"/>
        <bgColor indexed="64"/>
      </patternFill>
    </fill>
    <fill>
      <gradientFill degree="90">
        <stop position="0">
          <color rgb="FFFFFF00"/>
        </stop>
        <stop position="1">
          <color rgb="FF7030A0"/>
        </stop>
      </gradientFill>
    </fill>
    <fill>
      <patternFill patternType="darkGray">
        <bgColor rgb="FF0070C0"/>
      </patternFill>
    </fill>
    <fill>
      <patternFill patternType="solid">
        <fgColor rgb="FFF4B084"/>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AEAAAA"/>
        <bgColor indexed="64"/>
      </patternFill>
    </fill>
    <fill>
      <patternFill patternType="solid">
        <fgColor rgb="FFC6E0B4"/>
        <bgColor indexed="64"/>
      </patternFill>
    </fill>
    <fill>
      <patternFill patternType="solid">
        <fgColor rgb="FFB6FD03"/>
        <bgColor indexed="64"/>
      </patternFill>
    </fill>
    <fill>
      <patternFill patternType="solid">
        <fgColor rgb="FFACB9CA"/>
        <bgColor indexed="64"/>
      </patternFill>
    </fill>
    <fill>
      <patternFill patternType="solid">
        <fgColor rgb="FFFF0000"/>
        <bgColor indexed="64"/>
      </patternFill>
    </fill>
    <fill>
      <patternFill patternType="solid">
        <fgColor rgb="FF92D050"/>
        <bgColor indexed="64"/>
      </patternFill>
    </fill>
    <fill>
      <patternFill patternType="solid">
        <fgColor rgb="FFFFFF00"/>
        <bgColor auto="1"/>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5" borderId="0" applyNumberFormat="0" applyBorder="0" applyAlignment="0" applyProtection="0"/>
    <xf numFmtId="2" fontId="5" fillId="13" borderId="5" applyFont="0" applyBorder="0" applyAlignment="0">
      <alignment horizontal="center" vertical="center" wrapText="1"/>
      <protection locked="0"/>
    </xf>
    <xf numFmtId="0" fontId="6" fillId="14" borderId="1" applyBorder="0">
      <alignment horizontal="center" vertical="center"/>
    </xf>
  </cellStyleXfs>
  <cellXfs count="1387">
    <xf numFmtId="0" fontId="0" fillId="0" borderId="0" xfId="0"/>
    <xf numFmtId="2" fontId="7" fillId="0" borderId="0" xfId="0" applyNumberFormat="1" applyFont="1" applyProtection="1">
      <protection hidden="1"/>
    </xf>
    <xf numFmtId="0" fontId="7" fillId="2" borderId="0" xfId="0" applyFont="1" applyFill="1" applyBorder="1" applyAlignment="1" applyProtection="1">
      <protection hidden="1"/>
    </xf>
    <xf numFmtId="0" fontId="7" fillId="2" borderId="0" xfId="0" applyFont="1" applyFill="1" applyBorder="1" applyAlignment="1" applyProtection="1">
      <alignment horizontal="center" vertical="center" wrapText="1"/>
      <protection hidden="1"/>
    </xf>
    <xf numFmtId="2" fontId="7" fillId="2" borderId="0" xfId="0" applyNumberFormat="1" applyFont="1" applyFill="1" applyBorder="1" applyAlignment="1" applyProtection="1">
      <alignment vertical="center" wrapText="1"/>
      <protection hidden="1"/>
    </xf>
    <xf numFmtId="0" fontId="7" fillId="0" borderId="0" xfId="0" applyFont="1" applyProtection="1">
      <protection hidden="1"/>
    </xf>
    <xf numFmtId="2" fontId="7" fillId="2" borderId="0" xfId="0" applyNumberFormat="1" applyFont="1" applyFill="1" applyBorder="1" applyProtection="1">
      <protection hidden="1"/>
    </xf>
    <xf numFmtId="2" fontId="7" fillId="0" borderId="0" xfId="0" applyNumberFormat="1" applyFont="1" applyFill="1" applyBorder="1" applyProtection="1">
      <protection hidden="1"/>
    </xf>
    <xf numFmtId="2" fontId="7" fillId="2" borderId="0" xfId="0" applyNumberFormat="1" applyFont="1" applyFill="1" applyProtection="1">
      <protection hidden="1"/>
    </xf>
    <xf numFmtId="2" fontId="8" fillId="0" borderId="0" xfId="2" applyNumberFormat="1" applyFont="1" applyFill="1" applyBorder="1" applyAlignment="1" applyProtection="1">
      <alignment horizontal="center" vertical="center"/>
      <protection hidden="1"/>
    </xf>
    <xf numFmtId="2" fontId="9" fillId="0" borderId="0" xfId="2" applyNumberFormat="1" applyFont="1" applyFill="1" applyBorder="1" applyAlignment="1" applyProtection="1">
      <alignment horizontal="center" vertical="center"/>
      <protection hidden="1"/>
    </xf>
    <xf numFmtId="2" fontId="8" fillId="0" borderId="0" xfId="2" applyNumberFormat="1" applyFont="1" applyFill="1" applyBorder="1" applyAlignment="1" applyProtection="1">
      <alignment horizontal="center" vertical="center" wrapText="1"/>
      <protection hidden="1"/>
    </xf>
    <xf numFmtId="2" fontId="9" fillId="0" borderId="0" xfId="2" applyNumberFormat="1" applyFont="1" applyFill="1" applyBorder="1" applyAlignment="1" applyProtection="1">
      <alignment vertical="center"/>
      <protection hidden="1"/>
    </xf>
    <xf numFmtId="2" fontId="9" fillId="0" borderId="0" xfId="2" applyNumberFormat="1" applyFont="1" applyFill="1" applyBorder="1" applyAlignment="1" applyProtection="1">
      <alignment vertical="center" wrapText="1"/>
      <protection hidden="1"/>
    </xf>
    <xf numFmtId="2" fontId="7" fillId="2" borderId="0" xfId="0" applyNumberFormat="1" applyFont="1" applyFill="1" applyBorder="1" applyAlignment="1" applyProtection="1">
      <alignment vertical="center"/>
      <protection hidden="1"/>
    </xf>
    <xf numFmtId="2" fontId="9" fillId="0" borderId="0" xfId="2" applyNumberFormat="1" applyFont="1" applyFill="1" applyBorder="1" applyAlignment="1" applyProtection="1">
      <protection hidden="1"/>
    </xf>
    <xf numFmtId="2" fontId="7" fillId="0" borderId="0" xfId="0" applyNumberFormat="1" applyFont="1" applyAlignment="1" applyProtection="1">
      <alignment vertical="center"/>
      <protection hidden="1"/>
    </xf>
    <xf numFmtId="2" fontId="9" fillId="0" borderId="0" xfId="2" applyNumberFormat="1" applyFont="1" applyFill="1" applyBorder="1" applyAlignment="1" applyProtection="1">
      <alignment horizontal="center"/>
      <protection hidden="1"/>
    </xf>
    <xf numFmtId="2" fontId="9" fillId="0" borderId="0" xfId="2" applyNumberFormat="1" applyFont="1" applyFill="1" applyBorder="1" applyProtection="1">
      <protection hidden="1"/>
    </xf>
    <xf numFmtId="2" fontId="8" fillId="0" borderId="0" xfId="2" applyNumberFormat="1" applyFont="1" applyFill="1" applyBorder="1" applyAlignment="1" applyProtection="1">
      <protection hidden="1"/>
    </xf>
    <xf numFmtId="2" fontId="8" fillId="0" borderId="0" xfId="2" applyNumberFormat="1" applyFont="1" applyFill="1" applyBorder="1" applyAlignment="1" applyProtection="1">
      <alignment vertical="center"/>
      <protection hidden="1"/>
    </xf>
    <xf numFmtId="2" fontId="7" fillId="0" borderId="0" xfId="0" applyNumberFormat="1" applyFont="1" applyFill="1" applyBorder="1" applyAlignment="1" applyProtection="1">
      <alignment vertical="center"/>
      <protection hidden="1"/>
    </xf>
    <xf numFmtId="176" fontId="8" fillId="0" borderId="0" xfId="2" applyNumberFormat="1" applyFont="1" applyFill="1" applyBorder="1" applyAlignment="1" applyProtection="1">
      <protection hidden="1"/>
    </xf>
    <xf numFmtId="2" fontId="9" fillId="0" borderId="0" xfId="2" applyNumberFormat="1" applyFont="1" applyFill="1" applyBorder="1" applyAlignment="1" applyProtection="1">
      <alignment horizontal="right" vertical="center"/>
      <protection hidden="1"/>
    </xf>
    <xf numFmtId="1" fontId="7" fillId="0" borderId="0" xfId="0" applyNumberFormat="1" applyFont="1" applyAlignment="1" applyProtection="1">
      <alignment horizontal="left" vertical="center"/>
      <protection hidden="1"/>
    </xf>
    <xf numFmtId="2" fontId="13" fillId="0" borderId="0" xfId="0" applyNumberFormat="1" applyFont="1" applyFill="1" applyBorder="1" applyAlignment="1" applyProtection="1">
      <alignment vertical="center" wrapText="1"/>
      <protection hidden="1"/>
    </xf>
    <xf numFmtId="2" fontId="7" fillId="6" borderId="35" xfId="0" applyNumberFormat="1" applyFont="1" applyFill="1" applyBorder="1" applyAlignment="1" applyProtection="1">
      <alignment horizontal="center" vertical="center"/>
      <protection hidden="1"/>
    </xf>
    <xf numFmtId="171" fontId="13" fillId="9" borderId="1" xfId="0" applyNumberFormat="1" applyFont="1" applyFill="1" applyBorder="1" applyAlignment="1" applyProtection="1">
      <alignment horizontal="center" vertical="center"/>
      <protection hidden="1"/>
    </xf>
    <xf numFmtId="171" fontId="7" fillId="2" borderId="0" xfId="0" applyNumberFormat="1" applyFont="1" applyFill="1" applyBorder="1" applyProtection="1">
      <protection hidden="1"/>
    </xf>
    <xf numFmtId="2" fontId="7" fillId="0" borderId="0" xfId="0" applyNumberFormat="1" applyFont="1" applyFill="1" applyProtection="1">
      <protection hidden="1"/>
    </xf>
    <xf numFmtId="2" fontId="10" fillId="0" borderId="0" xfId="0" applyNumberFormat="1" applyFont="1" applyFill="1" applyBorder="1" applyAlignment="1" applyProtection="1">
      <alignment vertical="center"/>
      <protection hidden="1"/>
    </xf>
    <xf numFmtId="2" fontId="7" fillId="9" borderId="1" xfId="0" applyNumberFormat="1" applyFont="1" applyFill="1" applyBorder="1" applyAlignment="1" applyProtection="1">
      <alignment horizontal="center" vertical="center"/>
      <protection hidden="1"/>
    </xf>
    <xf numFmtId="2" fontId="7" fillId="0" borderId="0" xfId="0" applyNumberFormat="1" applyFont="1" applyBorder="1" applyProtection="1">
      <protection hidden="1"/>
    </xf>
    <xf numFmtId="166" fontId="7" fillId="9" borderId="1" xfId="0" applyNumberFormat="1" applyFont="1" applyFill="1" applyBorder="1" applyAlignment="1" applyProtection="1">
      <alignment horizontal="center" vertical="center"/>
      <protection hidden="1"/>
    </xf>
    <xf numFmtId="2" fontId="7" fillId="0" borderId="0" xfId="0" applyNumberFormat="1" applyFont="1" applyFill="1" applyBorder="1" applyAlignment="1" applyProtection="1">
      <alignment horizontal="center" vertical="center"/>
      <protection hidden="1"/>
    </xf>
    <xf numFmtId="169" fontId="7" fillId="0" borderId="0" xfId="0" applyNumberFormat="1" applyFont="1" applyFill="1" applyBorder="1" applyProtection="1">
      <protection hidden="1"/>
    </xf>
    <xf numFmtId="169" fontId="9" fillId="9" borderId="1" xfId="0" applyNumberFormat="1" applyFont="1" applyFill="1" applyBorder="1" applyAlignment="1" applyProtection="1">
      <alignment horizontal="center" vertical="center"/>
      <protection hidden="1"/>
    </xf>
    <xf numFmtId="167" fontId="9" fillId="9" borderId="1" xfId="0" applyNumberFormat="1" applyFont="1" applyFill="1" applyBorder="1" applyAlignment="1" applyProtection="1">
      <alignment horizontal="center" vertical="center"/>
      <protection hidden="1"/>
    </xf>
    <xf numFmtId="2" fontId="13" fillId="0" borderId="0" xfId="0" applyNumberFormat="1" applyFont="1" applyFill="1" applyBorder="1" applyAlignment="1" applyProtection="1">
      <alignment horizontal="center" vertical="center" wrapText="1"/>
      <protection hidden="1"/>
    </xf>
    <xf numFmtId="1" fontId="7" fillId="9" borderId="1" xfId="0" applyNumberFormat="1" applyFont="1" applyFill="1" applyBorder="1" applyAlignment="1" applyProtection="1">
      <alignment horizontal="center" vertical="center"/>
      <protection hidden="1"/>
    </xf>
    <xf numFmtId="172" fontId="7" fillId="2" borderId="0" xfId="0" applyNumberFormat="1" applyFont="1" applyFill="1" applyBorder="1" applyProtection="1">
      <protection hidden="1"/>
    </xf>
    <xf numFmtId="2" fontId="7" fillId="0" borderId="0" xfId="0" applyNumberFormat="1" applyFont="1" applyAlignment="1" applyProtection="1">
      <alignment horizontal="center"/>
      <protection hidden="1"/>
    </xf>
    <xf numFmtId="2" fontId="7" fillId="2" borderId="0" xfId="0" applyNumberFormat="1" applyFont="1" applyFill="1" applyBorder="1" applyAlignment="1" applyProtection="1">
      <alignment horizontal="left" vertical="center"/>
      <protection hidden="1"/>
    </xf>
    <xf numFmtId="11" fontId="7" fillId="2" borderId="0" xfId="0" applyNumberFormat="1" applyFont="1" applyFill="1" applyBorder="1" applyProtection="1">
      <protection hidden="1"/>
    </xf>
    <xf numFmtId="14" fontId="5" fillId="9" borderId="48" xfId="0" applyNumberFormat="1" applyFont="1" applyFill="1" applyBorder="1" applyAlignment="1" applyProtection="1">
      <alignment horizontal="center" vertical="center" wrapText="1"/>
      <protection hidden="1"/>
    </xf>
    <xf numFmtId="2" fontId="7" fillId="9" borderId="16" xfId="0" applyNumberFormat="1" applyFont="1" applyFill="1" applyBorder="1" applyAlignment="1" applyProtection="1">
      <alignment horizontal="centerContinuous" vertical="center" wrapText="1"/>
      <protection hidden="1"/>
    </xf>
    <xf numFmtId="0" fontId="7" fillId="9" borderId="1" xfId="0" applyFont="1" applyFill="1" applyBorder="1" applyAlignment="1" applyProtection="1">
      <alignment horizontal="center" vertical="center"/>
      <protection hidden="1"/>
    </xf>
    <xf numFmtId="2" fontId="17" fillId="6" borderId="9" xfId="2" applyNumberFormat="1" applyFont="1" applyFill="1" applyBorder="1" applyAlignment="1" applyProtection="1">
      <alignment horizontal="center" vertical="center" wrapText="1"/>
      <protection hidden="1"/>
    </xf>
    <xf numFmtId="2" fontId="17" fillId="6" borderId="10" xfId="2" applyNumberFormat="1" applyFont="1" applyFill="1" applyBorder="1" applyAlignment="1" applyProtection="1">
      <alignment horizontal="center" vertical="center" wrapText="1"/>
      <protection hidden="1"/>
    </xf>
    <xf numFmtId="2" fontId="4" fillId="6" borderId="10" xfId="0" applyNumberFormat="1" applyFont="1" applyFill="1" applyBorder="1" applyAlignment="1" applyProtection="1">
      <alignment horizontal="center" vertical="center" wrapText="1"/>
      <protection hidden="1"/>
    </xf>
    <xf numFmtId="2" fontId="17" fillId="6" borderId="47" xfId="2" applyNumberFormat="1" applyFont="1" applyFill="1" applyBorder="1" applyAlignment="1" applyProtection="1">
      <alignment horizontal="center" vertical="center" wrapText="1"/>
      <protection hidden="1"/>
    </xf>
    <xf numFmtId="2" fontId="7" fillId="9" borderId="17" xfId="0" applyNumberFormat="1" applyFont="1" applyFill="1" applyBorder="1" applyAlignment="1" applyProtection="1">
      <alignment horizontal="centerContinuous" vertical="center" wrapText="1"/>
      <protection hidden="1"/>
    </xf>
    <xf numFmtId="171" fontId="7" fillId="9" borderId="17" xfId="0" applyNumberFormat="1" applyFont="1" applyFill="1" applyBorder="1" applyAlignment="1" applyProtection="1">
      <alignment horizontal="centerContinuous" vertical="center" wrapText="1"/>
      <protection hidden="1"/>
    </xf>
    <xf numFmtId="1" fontId="7" fillId="9" borderId="17" xfId="0" applyNumberFormat="1" applyFont="1" applyFill="1" applyBorder="1" applyAlignment="1" applyProtection="1">
      <alignment horizontal="centerContinuous" vertical="center" wrapText="1"/>
      <protection hidden="1"/>
    </xf>
    <xf numFmtId="168" fontId="5" fillId="9" borderId="48" xfId="0" applyNumberFormat="1" applyFont="1" applyFill="1" applyBorder="1" applyAlignment="1" applyProtection="1">
      <alignment horizontal="center" vertical="center" wrapText="1"/>
      <protection hidden="1"/>
    </xf>
    <xf numFmtId="2" fontId="7" fillId="2" borderId="0" xfId="0" applyNumberFormat="1" applyFont="1" applyFill="1" applyBorder="1" applyAlignment="1" applyProtection="1">
      <alignment horizontal="center" vertical="center"/>
      <protection hidden="1"/>
    </xf>
    <xf numFmtId="2" fontId="13" fillId="6" borderId="35" xfId="0" applyNumberFormat="1" applyFont="1" applyFill="1" applyBorder="1" applyAlignment="1" applyProtection="1">
      <alignment horizontal="center" vertical="center" wrapText="1"/>
      <protection hidden="1"/>
    </xf>
    <xf numFmtId="2" fontId="13" fillId="6" borderId="35" xfId="0" applyNumberFormat="1" applyFont="1" applyFill="1" applyBorder="1" applyAlignment="1" applyProtection="1">
      <alignment vertical="center" wrapText="1"/>
      <protection hidden="1"/>
    </xf>
    <xf numFmtId="2" fontId="7" fillId="9" borderId="14" xfId="0" applyNumberFormat="1" applyFont="1" applyFill="1" applyBorder="1" applyAlignment="1" applyProtection="1">
      <alignment horizontal="centerContinuous" vertical="center" wrapText="1"/>
      <protection hidden="1"/>
    </xf>
    <xf numFmtId="2" fontId="14" fillId="2" borderId="0" xfId="0" applyNumberFormat="1" applyFont="1" applyFill="1" applyBorder="1" applyProtection="1">
      <protection hidden="1"/>
    </xf>
    <xf numFmtId="171" fontId="13" fillId="9" borderId="35" xfId="0" applyNumberFormat="1" applyFont="1" applyFill="1" applyBorder="1" applyAlignment="1" applyProtection="1">
      <alignment horizontal="center" vertical="center"/>
      <protection hidden="1"/>
    </xf>
    <xf numFmtId="0" fontId="30" fillId="0" borderId="0" xfId="0" applyFont="1" applyProtection="1">
      <protection hidden="1"/>
    </xf>
    <xf numFmtId="0" fontId="30" fillId="0" borderId="0" xfId="0" applyFont="1" applyBorder="1" applyProtection="1">
      <protection hidden="1"/>
    </xf>
    <xf numFmtId="0" fontId="30" fillId="0" borderId="0" xfId="0" applyFont="1" applyAlignment="1" applyProtection="1">
      <alignment horizontal="center" vertical="center"/>
      <protection hidden="1"/>
    </xf>
    <xf numFmtId="0" fontId="29" fillId="0" borderId="4" xfId="0" applyNumberFormat="1" applyFont="1" applyBorder="1" applyAlignment="1" applyProtection="1">
      <protection hidden="1"/>
    </xf>
    <xf numFmtId="0" fontId="29" fillId="0" borderId="5" xfId="0" applyNumberFormat="1" applyFont="1" applyBorder="1" applyAlignment="1" applyProtection="1">
      <protection hidden="1"/>
    </xf>
    <xf numFmtId="0" fontId="29" fillId="0" borderId="39" xfId="0" applyNumberFormat="1" applyFont="1" applyBorder="1" applyAlignment="1" applyProtection="1">
      <protection hidden="1"/>
    </xf>
    <xf numFmtId="0" fontId="30" fillId="0" borderId="0" xfId="0" applyFont="1" applyFill="1" applyBorder="1" applyProtection="1">
      <protection hidden="1"/>
    </xf>
    <xf numFmtId="0" fontId="30" fillId="0" borderId="0" xfId="0" applyFont="1" applyFill="1" applyProtection="1">
      <protection hidden="1"/>
    </xf>
    <xf numFmtId="0" fontId="30" fillId="0" borderId="7" xfId="0" applyNumberFormat="1" applyFont="1" applyFill="1" applyBorder="1" applyProtection="1">
      <protection hidden="1"/>
    </xf>
    <xf numFmtId="0" fontId="30" fillId="0" borderId="8" xfId="0" applyNumberFormat="1" applyFont="1" applyFill="1" applyBorder="1" applyProtection="1">
      <protection hidden="1"/>
    </xf>
    <xf numFmtId="0" fontId="29" fillId="0" borderId="7" xfId="0" applyNumberFormat="1" applyFont="1" applyFill="1" applyBorder="1" applyAlignment="1" applyProtection="1">
      <alignment horizontal="center"/>
      <protection hidden="1"/>
    </xf>
    <xf numFmtId="0" fontId="29" fillId="0" borderId="8" xfId="0" applyNumberFormat="1" applyFont="1" applyFill="1" applyBorder="1" applyAlignment="1" applyProtection="1">
      <alignment horizontal="center"/>
      <protection hidden="1"/>
    </xf>
    <xf numFmtId="0" fontId="29" fillId="0" borderId="8" xfId="0" applyNumberFormat="1" applyFont="1" applyFill="1" applyBorder="1" applyAlignment="1" applyProtection="1">
      <alignment horizontal="center" vertical="center" wrapText="1"/>
      <protection hidden="1"/>
    </xf>
    <xf numFmtId="0" fontId="29" fillId="0" borderId="12" xfId="0" applyNumberFormat="1" applyFont="1" applyFill="1" applyBorder="1" applyAlignment="1" applyProtection="1">
      <alignment horizontal="center"/>
      <protection hidden="1"/>
    </xf>
    <xf numFmtId="0" fontId="30" fillId="0" borderId="39"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29" fillId="0" borderId="0" xfId="0" applyFont="1" applyBorder="1" applyProtection="1">
      <protection hidden="1"/>
    </xf>
    <xf numFmtId="0" fontId="29" fillId="0" borderId="0" xfId="0" applyFont="1" applyFill="1" applyBorder="1" applyProtection="1">
      <protection hidden="1"/>
    </xf>
    <xf numFmtId="0" fontId="29" fillId="0" borderId="0" xfId="0" applyFont="1" applyBorder="1" applyAlignment="1" applyProtection="1">
      <alignment horizontal="center"/>
      <protection hidden="1"/>
    </xf>
    <xf numFmtId="0" fontId="31" fillId="0" borderId="0" xfId="0" applyFont="1" applyBorder="1" applyAlignment="1" applyProtection="1">
      <alignment vertical="center" textRotation="90"/>
      <protection hidden="1"/>
    </xf>
    <xf numFmtId="0" fontId="29" fillId="0" borderId="0" xfId="0" applyFont="1" applyBorder="1" applyAlignment="1" applyProtection="1">
      <alignment horizontal="center" vertical="center"/>
      <protection hidden="1"/>
    </xf>
    <xf numFmtId="0" fontId="30" fillId="0" borderId="22" xfId="0" applyFont="1" applyBorder="1" applyProtection="1">
      <protection hidden="1"/>
    </xf>
    <xf numFmtId="0" fontId="31" fillId="0" borderId="31" xfId="0" applyFont="1" applyBorder="1" applyAlignment="1" applyProtection="1">
      <alignment vertical="center" textRotation="90"/>
      <protection hidden="1"/>
    </xf>
    <xf numFmtId="0" fontId="30" fillId="0" borderId="31" xfId="0" applyFont="1" applyBorder="1" applyAlignment="1" applyProtection="1">
      <protection hidden="1"/>
    </xf>
    <xf numFmtId="0" fontId="30" fillId="0" borderId="31" xfId="0" applyFont="1" applyBorder="1" applyProtection="1">
      <protection hidden="1"/>
    </xf>
    <xf numFmtId="0" fontId="30" fillId="0" borderId="15" xfId="0" applyFont="1" applyBorder="1" applyProtection="1">
      <protection hidden="1"/>
    </xf>
    <xf numFmtId="0" fontId="30" fillId="0" borderId="15" xfId="0" applyFont="1" applyBorder="1" applyAlignment="1" applyProtection="1">
      <alignment horizontal="center" vertical="center"/>
      <protection hidden="1"/>
    </xf>
    <xf numFmtId="0" fontId="30" fillId="0" borderId="16" xfId="0" applyFont="1" applyBorder="1" applyAlignment="1" applyProtection="1">
      <alignment horizontal="center" vertical="center"/>
      <protection hidden="1"/>
    </xf>
    <xf numFmtId="0" fontId="31" fillId="0" borderId="40" xfId="0" applyFont="1" applyBorder="1" applyAlignment="1" applyProtection="1">
      <alignment horizontal="center" vertical="center"/>
      <protection hidden="1"/>
    </xf>
    <xf numFmtId="0" fontId="29" fillId="0" borderId="40" xfId="0" applyFont="1" applyFill="1" applyBorder="1" applyAlignment="1" applyProtection="1">
      <alignment horizontal="center" vertical="center"/>
      <protection hidden="1"/>
    </xf>
    <xf numFmtId="0" fontId="30" fillId="0" borderId="40" xfId="0" applyFont="1" applyFill="1" applyBorder="1" applyAlignment="1" applyProtection="1">
      <alignment horizontal="center" vertical="center"/>
      <protection hidden="1"/>
    </xf>
    <xf numFmtId="3" fontId="29" fillId="0" borderId="40" xfId="0" applyNumberFormat="1" applyFont="1" applyFill="1" applyBorder="1" applyAlignment="1" applyProtection="1">
      <alignment horizontal="center" vertical="center" wrapText="1"/>
      <protection hidden="1"/>
    </xf>
    <xf numFmtId="171" fontId="29" fillId="0" borderId="40" xfId="0" applyNumberFormat="1" applyFont="1" applyFill="1" applyBorder="1" applyAlignment="1" applyProtection="1">
      <alignment horizontal="center" vertical="center"/>
      <protection hidden="1"/>
    </xf>
    <xf numFmtId="168" fontId="29" fillId="0" borderId="40" xfId="0" applyNumberFormat="1" applyFont="1" applyFill="1" applyBorder="1" applyAlignment="1" applyProtection="1">
      <alignment horizontal="center" vertical="center"/>
      <protection hidden="1"/>
    </xf>
    <xf numFmtId="3" fontId="29" fillId="17" borderId="4" xfId="0" applyNumberFormat="1" applyFont="1" applyFill="1" applyBorder="1" applyAlignment="1" applyProtection="1">
      <alignment horizontal="center" vertical="center" wrapText="1"/>
      <protection hidden="1"/>
    </xf>
    <xf numFmtId="0" fontId="29" fillId="0" borderId="0" xfId="0" applyFont="1" applyFill="1" applyBorder="1" applyAlignment="1" applyProtection="1">
      <alignment vertical="center"/>
      <protection hidden="1"/>
    </xf>
    <xf numFmtId="0" fontId="31" fillId="0" borderId="24" xfId="0" applyFont="1" applyBorder="1" applyAlignment="1" applyProtection="1">
      <alignment horizontal="center" vertical="center"/>
      <protection hidden="1"/>
    </xf>
    <xf numFmtId="0" fontId="31" fillId="0" borderId="0" xfId="0" applyFont="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3" fontId="29" fillId="0" borderId="0" xfId="0" applyNumberFormat="1" applyFont="1" applyFill="1" applyBorder="1" applyAlignment="1" applyProtection="1">
      <alignment horizontal="center" vertical="center" wrapText="1"/>
      <protection hidden="1"/>
    </xf>
    <xf numFmtId="168" fontId="29" fillId="0" borderId="0" xfId="0" applyNumberFormat="1" applyFont="1" applyFill="1" applyBorder="1" applyAlignment="1" applyProtection="1">
      <alignment horizontal="center" vertical="center"/>
      <protection hidden="1"/>
    </xf>
    <xf numFmtId="14" fontId="29" fillId="0" borderId="0" xfId="0" applyNumberFormat="1" applyFont="1" applyFill="1" applyBorder="1" applyAlignment="1" applyProtection="1">
      <alignment horizontal="center" vertical="center" wrapText="1"/>
      <protection hidden="1"/>
    </xf>
    <xf numFmtId="0" fontId="30" fillId="0" borderId="14" xfId="0" applyFont="1" applyBorder="1" applyProtection="1">
      <protection hidden="1"/>
    </xf>
    <xf numFmtId="0" fontId="30" fillId="0" borderId="24" xfId="0" applyFont="1" applyBorder="1" applyProtection="1">
      <protection hidden="1"/>
    </xf>
    <xf numFmtId="174" fontId="29" fillId="0" borderId="41" xfId="0" applyNumberFormat="1" applyFont="1" applyFill="1" applyBorder="1" applyAlignment="1" applyProtection="1">
      <alignment horizontal="center" vertical="center"/>
      <protection hidden="1"/>
    </xf>
    <xf numFmtId="0" fontId="29" fillId="0" borderId="5" xfId="0" applyFont="1" applyFill="1" applyBorder="1" applyAlignment="1" applyProtection="1">
      <alignment horizontal="center" vertical="center"/>
      <protection hidden="1"/>
    </xf>
    <xf numFmtId="174" fontId="29" fillId="2" borderId="5" xfId="0" applyNumberFormat="1" applyFont="1" applyFill="1" applyBorder="1" applyAlignment="1" applyProtection="1">
      <alignment horizontal="center" vertical="center"/>
      <protection hidden="1"/>
    </xf>
    <xf numFmtId="0" fontId="29" fillId="0" borderId="1" xfId="0" applyFont="1" applyFill="1" applyBorder="1" applyAlignment="1" applyProtection="1">
      <alignment horizontal="center" vertical="center"/>
      <protection hidden="1"/>
    </xf>
    <xf numFmtId="0" fontId="29" fillId="0" borderId="42" xfId="0" applyFont="1" applyFill="1" applyBorder="1" applyAlignment="1" applyProtection="1">
      <alignment horizontal="center" vertical="center"/>
      <protection hidden="1"/>
    </xf>
    <xf numFmtId="0" fontId="29" fillId="0" borderId="41" xfId="0" applyFont="1" applyFill="1" applyBorder="1" applyAlignment="1" applyProtection="1">
      <alignment horizontal="center" vertical="center"/>
      <protection hidden="1"/>
    </xf>
    <xf numFmtId="0" fontId="29" fillId="0" borderId="7" xfId="0" applyFont="1" applyFill="1" applyBorder="1" applyAlignment="1" applyProtection="1">
      <alignment horizontal="center" vertical="center"/>
      <protection hidden="1"/>
    </xf>
    <xf numFmtId="0" fontId="33" fillId="0" borderId="0" xfId="0" applyFont="1" applyProtection="1">
      <protection hidden="1"/>
    </xf>
    <xf numFmtId="0" fontId="30" fillId="0" borderId="59" xfId="0" applyFont="1" applyBorder="1" applyAlignment="1" applyProtection="1">
      <alignment horizontal="center" vertical="center"/>
      <protection hidden="1"/>
    </xf>
    <xf numFmtId="0" fontId="30" fillId="0" borderId="12" xfId="0" applyFont="1" applyFill="1" applyBorder="1" applyProtection="1">
      <protection hidden="1"/>
    </xf>
    <xf numFmtId="0" fontId="29" fillId="0" borderId="43" xfId="0" applyNumberFormat="1" applyFont="1" applyBorder="1" applyAlignment="1" applyProtection="1">
      <protection hidden="1"/>
    </xf>
    <xf numFmtId="0" fontId="29" fillId="0" borderId="20" xfId="0" applyNumberFormat="1" applyFont="1" applyBorder="1" applyAlignment="1" applyProtection="1">
      <protection hidden="1"/>
    </xf>
    <xf numFmtId="0" fontId="30" fillId="0" borderId="44" xfId="0" applyFont="1" applyBorder="1" applyProtection="1">
      <protection hidden="1"/>
    </xf>
    <xf numFmtId="0" fontId="30" fillId="0" borderId="7" xfId="0" applyFont="1" applyBorder="1" applyProtection="1">
      <protection hidden="1"/>
    </xf>
    <xf numFmtId="0" fontId="30" fillId="0" borderId="12" xfId="0" applyFont="1" applyBorder="1" applyProtection="1">
      <protection hidden="1"/>
    </xf>
    <xf numFmtId="0" fontId="30" fillId="0" borderId="43" xfId="0" applyFont="1" applyBorder="1" applyProtection="1">
      <protection hidden="1"/>
    </xf>
    <xf numFmtId="1" fontId="7" fillId="13" borderId="35" xfId="3" applyNumberFormat="1" applyFont="1" applyBorder="1" applyAlignment="1" applyProtection="1">
      <alignment horizontal="center" vertical="center"/>
      <protection locked="0" hidden="1"/>
    </xf>
    <xf numFmtId="1" fontId="7" fillId="13" borderId="16" xfId="3" applyNumberFormat="1" applyFont="1" applyBorder="1" applyAlignment="1" applyProtection="1">
      <alignment horizontal="center" vertical="center" wrapText="1"/>
      <protection locked="0" hidden="1"/>
    </xf>
    <xf numFmtId="1" fontId="8" fillId="13" borderId="35" xfId="3" applyNumberFormat="1" applyFont="1" applyBorder="1" applyAlignment="1" applyProtection="1">
      <alignment horizontal="center" vertical="center"/>
      <protection locked="0" hidden="1"/>
    </xf>
    <xf numFmtId="175" fontId="7" fillId="4" borderId="14" xfId="0" applyNumberFormat="1" applyFont="1" applyFill="1" applyBorder="1" applyAlignment="1" applyProtection="1">
      <alignment horizontal="center" vertical="center"/>
      <protection locked="0" hidden="1"/>
    </xf>
    <xf numFmtId="171" fontId="7" fillId="7" borderId="15" xfId="0" applyNumberFormat="1" applyFont="1" applyFill="1" applyBorder="1" applyAlignment="1" applyProtection="1">
      <alignment horizontal="center" vertical="center"/>
      <protection locked="0" hidden="1"/>
    </xf>
    <xf numFmtId="171" fontId="7" fillId="4" borderId="15" xfId="0" applyNumberFormat="1" applyFont="1" applyFill="1" applyBorder="1" applyAlignment="1" applyProtection="1">
      <alignment horizontal="center" vertical="center"/>
      <protection locked="0" hidden="1"/>
    </xf>
    <xf numFmtId="171" fontId="7" fillId="7" borderId="35" xfId="0" applyNumberFormat="1" applyFont="1" applyFill="1" applyBorder="1" applyAlignment="1" applyProtection="1">
      <alignment horizontal="center" vertical="center" wrapText="1"/>
      <protection locked="0" hidden="1"/>
    </xf>
    <xf numFmtId="3" fontId="29" fillId="20" borderId="43" xfId="0" applyNumberFormat="1" applyFont="1" applyFill="1" applyBorder="1" applyAlignment="1" applyProtection="1">
      <alignment horizontal="center" vertical="center" wrapText="1"/>
      <protection hidden="1"/>
    </xf>
    <xf numFmtId="0" fontId="30" fillId="0" borderId="4" xfId="0" applyFont="1" applyBorder="1" applyProtection="1">
      <protection hidden="1"/>
    </xf>
    <xf numFmtId="0" fontId="30" fillId="15" borderId="1" xfId="0" applyFont="1" applyFill="1" applyBorder="1" applyAlignment="1" applyProtection="1">
      <alignment horizontal="center" vertical="center"/>
      <protection hidden="1"/>
    </xf>
    <xf numFmtId="169" fontId="30" fillId="15" borderId="1" xfId="0" applyNumberFormat="1" applyFont="1" applyFill="1" applyBorder="1" applyAlignment="1" applyProtection="1">
      <alignment horizontal="center" vertical="center"/>
      <protection hidden="1"/>
    </xf>
    <xf numFmtId="171" fontId="30" fillId="15" borderId="1" xfId="0" applyNumberFormat="1" applyFont="1" applyFill="1" applyBorder="1" applyAlignment="1" applyProtection="1">
      <alignment horizontal="center" vertical="center"/>
      <protection hidden="1"/>
    </xf>
    <xf numFmtId="2" fontId="30" fillId="15" borderId="1" xfId="0" applyNumberFormat="1" applyFont="1" applyFill="1" applyBorder="1" applyAlignment="1" applyProtection="1">
      <alignment horizontal="center" vertical="center"/>
      <protection hidden="1"/>
    </xf>
    <xf numFmtId="0" fontId="30" fillId="15" borderId="8" xfId="0" applyFont="1" applyFill="1" applyBorder="1" applyAlignment="1" applyProtection="1">
      <alignment horizontal="center" vertical="center"/>
      <protection hidden="1"/>
    </xf>
    <xf numFmtId="169" fontId="30" fillId="15" borderId="8" xfId="0" applyNumberFormat="1" applyFont="1" applyFill="1" applyBorder="1" applyAlignment="1" applyProtection="1">
      <alignment horizontal="center" vertical="center"/>
      <protection hidden="1"/>
    </xf>
    <xf numFmtId="0" fontId="30" fillId="15" borderId="4" xfId="0" applyFont="1" applyFill="1" applyBorder="1" applyAlignment="1" applyProtection="1">
      <alignment horizontal="center" vertical="center" wrapText="1"/>
      <protection hidden="1"/>
    </xf>
    <xf numFmtId="0" fontId="30" fillId="15" borderId="5" xfId="0" applyFont="1" applyFill="1" applyBorder="1" applyAlignment="1" applyProtection="1">
      <alignment horizontal="center" vertical="center"/>
      <protection hidden="1"/>
    </xf>
    <xf numFmtId="166" fontId="30" fillId="15" borderId="5" xfId="0" applyNumberFormat="1" applyFont="1" applyFill="1" applyBorder="1" applyAlignment="1" applyProtection="1">
      <alignment horizontal="center" vertical="center"/>
      <protection hidden="1"/>
    </xf>
    <xf numFmtId="2" fontId="30" fillId="15" borderId="5" xfId="0" applyNumberFormat="1" applyFont="1" applyFill="1" applyBorder="1" applyAlignment="1" applyProtection="1">
      <alignment horizontal="center" vertical="center"/>
      <protection hidden="1"/>
    </xf>
    <xf numFmtId="169" fontId="30" fillId="15" borderId="5" xfId="0" applyNumberFormat="1" applyFont="1" applyFill="1" applyBorder="1" applyAlignment="1" applyProtection="1">
      <alignment horizontal="center" vertical="center"/>
      <protection hidden="1"/>
    </xf>
    <xf numFmtId="0" fontId="30" fillId="15" borderId="41" xfId="0" applyFont="1" applyFill="1" applyBorder="1" applyAlignment="1" applyProtection="1">
      <alignment horizontal="center" vertical="center" wrapText="1"/>
      <protection hidden="1"/>
    </xf>
    <xf numFmtId="165" fontId="30" fillId="15" borderId="1" xfId="0" applyNumberFormat="1" applyFont="1" applyFill="1" applyBorder="1" applyAlignment="1" applyProtection="1">
      <alignment horizontal="center" vertical="center"/>
      <protection hidden="1"/>
    </xf>
    <xf numFmtId="0" fontId="30" fillId="15" borderId="7" xfId="0" applyFont="1" applyFill="1" applyBorder="1" applyAlignment="1" applyProtection="1">
      <alignment horizontal="center" vertical="center" wrapText="1"/>
      <protection hidden="1"/>
    </xf>
    <xf numFmtId="171" fontId="30" fillId="15" borderId="8" xfId="0" applyNumberFormat="1" applyFont="1" applyFill="1" applyBorder="1" applyAlignment="1" applyProtection="1">
      <alignment horizontal="center" vertical="center"/>
      <protection hidden="1"/>
    </xf>
    <xf numFmtId="164" fontId="30" fillId="15" borderId="5" xfId="0" applyNumberFormat="1" applyFont="1" applyFill="1" applyBorder="1" applyAlignment="1" applyProtection="1">
      <alignment horizontal="center" vertical="center"/>
      <protection hidden="1"/>
    </xf>
    <xf numFmtId="166" fontId="30" fillId="15" borderId="1" xfId="0" applyNumberFormat="1" applyFont="1" applyFill="1" applyBorder="1" applyAlignment="1" applyProtection="1">
      <alignment horizontal="center" vertical="center"/>
      <protection hidden="1"/>
    </xf>
    <xf numFmtId="164" fontId="30" fillId="15" borderId="1" xfId="0" applyNumberFormat="1" applyFont="1" applyFill="1" applyBorder="1" applyAlignment="1" applyProtection="1">
      <alignment horizontal="center" vertical="center"/>
      <protection hidden="1"/>
    </xf>
    <xf numFmtId="165" fontId="30" fillId="15" borderId="5" xfId="0" applyNumberFormat="1" applyFont="1" applyFill="1" applyBorder="1" applyAlignment="1" applyProtection="1">
      <alignment horizontal="center" vertical="center"/>
      <protection hidden="1"/>
    </xf>
    <xf numFmtId="0" fontId="29" fillId="22" borderId="14" xfId="0" applyFont="1" applyFill="1" applyBorder="1" applyAlignment="1" applyProtection="1">
      <alignment horizontal="center" vertical="center"/>
      <protection hidden="1"/>
    </xf>
    <xf numFmtId="1" fontId="7" fillId="9" borderId="4" xfId="0" applyNumberFormat="1" applyFont="1" applyFill="1" applyBorder="1" applyAlignment="1" applyProtection="1">
      <alignment horizontal="center" vertical="center"/>
      <protection hidden="1"/>
    </xf>
    <xf numFmtId="1" fontId="7" fillId="9" borderId="39" xfId="0" applyNumberFormat="1" applyFont="1" applyFill="1" applyBorder="1" applyAlignment="1" applyProtection="1">
      <alignment horizontal="center" vertical="center"/>
      <protection hidden="1"/>
    </xf>
    <xf numFmtId="1" fontId="7" fillId="9" borderId="41" xfId="0" applyNumberFormat="1" applyFont="1" applyFill="1" applyBorder="1" applyAlignment="1" applyProtection="1">
      <alignment horizontal="center" vertical="center"/>
      <protection hidden="1"/>
    </xf>
    <xf numFmtId="1" fontId="7" fillId="9" borderId="42" xfId="0" applyNumberFormat="1" applyFont="1" applyFill="1" applyBorder="1" applyAlignment="1" applyProtection="1">
      <alignment horizontal="center" vertical="center"/>
      <protection hidden="1"/>
    </xf>
    <xf numFmtId="1" fontId="7" fillId="9" borderId="7" xfId="0" applyNumberFormat="1" applyFont="1" applyFill="1" applyBorder="1" applyAlignment="1" applyProtection="1">
      <alignment horizontal="center" vertical="center"/>
      <protection hidden="1"/>
    </xf>
    <xf numFmtId="1" fontId="7" fillId="9" borderId="12" xfId="0" applyNumberFormat="1" applyFont="1" applyFill="1" applyBorder="1" applyAlignment="1" applyProtection="1">
      <alignment horizontal="center" vertical="center"/>
      <protection hidden="1"/>
    </xf>
    <xf numFmtId="2" fontId="9" fillId="6" borderId="14" xfId="0" applyNumberFormat="1" applyFont="1" applyFill="1" applyBorder="1" applyProtection="1">
      <protection hidden="1"/>
    </xf>
    <xf numFmtId="2" fontId="9" fillId="6" borderId="15" xfId="0" applyNumberFormat="1" applyFont="1" applyFill="1" applyBorder="1" applyAlignment="1" applyProtection="1">
      <alignment horizontal="center" vertical="center"/>
      <protection hidden="1"/>
    </xf>
    <xf numFmtId="2" fontId="7" fillId="6" borderId="16" xfId="0" applyNumberFormat="1" applyFont="1" applyFill="1" applyBorder="1" applyAlignment="1" applyProtection="1">
      <alignment horizontal="center" vertical="center"/>
      <protection hidden="1"/>
    </xf>
    <xf numFmtId="2" fontId="13" fillId="6" borderId="14" xfId="0" applyNumberFormat="1" applyFont="1" applyFill="1" applyBorder="1" applyAlignment="1" applyProtection="1">
      <alignment vertical="center" wrapText="1"/>
      <protection hidden="1"/>
    </xf>
    <xf numFmtId="2" fontId="7" fillId="6" borderId="15" xfId="0" applyNumberFormat="1" applyFont="1" applyFill="1" applyBorder="1" applyProtection="1">
      <protection hidden="1"/>
    </xf>
    <xf numFmtId="2" fontId="13" fillId="6" borderId="15" xfId="0" applyNumberFormat="1" applyFont="1" applyFill="1" applyBorder="1" applyAlignment="1" applyProtection="1">
      <alignment horizontal="left" vertical="center" wrapText="1"/>
      <protection hidden="1"/>
    </xf>
    <xf numFmtId="167" fontId="9" fillId="9" borderId="4" xfId="0" applyNumberFormat="1" applyFont="1" applyFill="1" applyBorder="1" applyAlignment="1" applyProtection="1">
      <alignment horizontal="center" vertical="center"/>
      <protection hidden="1"/>
    </xf>
    <xf numFmtId="167" fontId="9" fillId="9" borderId="5" xfId="0" applyNumberFormat="1" applyFont="1" applyFill="1" applyBorder="1" applyAlignment="1" applyProtection="1">
      <alignment horizontal="center" vertical="center"/>
      <protection hidden="1"/>
    </xf>
    <xf numFmtId="167" fontId="9" fillId="9" borderId="41" xfId="0" applyNumberFormat="1" applyFont="1" applyFill="1" applyBorder="1" applyAlignment="1" applyProtection="1">
      <alignment horizontal="center" vertical="center"/>
      <protection hidden="1"/>
    </xf>
    <xf numFmtId="169" fontId="9" fillId="9" borderId="4" xfId="0" applyNumberFormat="1" applyFont="1" applyFill="1" applyBorder="1" applyAlignment="1" applyProtection="1">
      <alignment horizontal="center" vertical="center"/>
      <protection hidden="1"/>
    </xf>
    <xf numFmtId="169" fontId="9" fillId="9" borderId="5" xfId="0" applyNumberFormat="1" applyFont="1" applyFill="1" applyBorder="1" applyAlignment="1" applyProtection="1">
      <alignment horizontal="center" vertical="center"/>
      <protection hidden="1"/>
    </xf>
    <xf numFmtId="169" fontId="9" fillId="9" borderId="41" xfId="0" applyNumberFormat="1" applyFont="1" applyFill="1" applyBorder="1" applyAlignment="1" applyProtection="1">
      <alignment horizontal="center" vertical="center"/>
      <protection hidden="1"/>
    </xf>
    <xf numFmtId="165" fontId="7" fillId="9" borderId="8" xfId="0" applyNumberFormat="1" applyFont="1" applyFill="1" applyBorder="1" applyAlignment="1" applyProtection="1">
      <alignment horizontal="center" vertical="center"/>
      <protection hidden="1"/>
    </xf>
    <xf numFmtId="166" fontId="7" fillId="9" borderId="8" xfId="0" applyNumberFormat="1" applyFont="1" applyFill="1" applyBorder="1" applyAlignment="1" applyProtection="1">
      <alignment horizontal="center" vertical="center"/>
      <protection hidden="1"/>
    </xf>
    <xf numFmtId="164" fontId="7" fillId="9" borderId="42" xfId="0" applyNumberFormat="1" applyFont="1" applyFill="1" applyBorder="1" applyAlignment="1" applyProtection="1">
      <alignment horizontal="center" vertical="center"/>
      <protection hidden="1"/>
    </xf>
    <xf numFmtId="164" fontId="7" fillId="9" borderId="12" xfId="0" applyNumberFormat="1" applyFont="1" applyFill="1" applyBorder="1" applyAlignment="1" applyProtection="1">
      <alignment horizontal="center" vertical="center"/>
      <protection hidden="1"/>
    </xf>
    <xf numFmtId="171" fontId="7" fillId="9" borderId="8" xfId="0" applyNumberFormat="1" applyFont="1" applyFill="1" applyBorder="1" applyAlignment="1" applyProtection="1">
      <alignment horizontal="center" vertical="center"/>
      <protection hidden="1"/>
    </xf>
    <xf numFmtId="171" fontId="7" fillId="9" borderId="12" xfId="0" applyNumberFormat="1" applyFont="1" applyFill="1" applyBorder="1" applyAlignment="1" applyProtection="1">
      <alignment horizontal="center" vertical="center"/>
      <protection hidden="1"/>
    </xf>
    <xf numFmtId="1" fontId="13" fillId="6" borderId="5" xfId="0" applyNumberFormat="1" applyFont="1" applyFill="1" applyBorder="1" applyAlignment="1" applyProtection="1">
      <alignment horizontal="center" vertical="center" wrapText="1"/>
      <protection hidden="1"/>
    </xf>
    <xf numFmtId="1" fontId="13" fillId="6" borderId="39" xfId="0" applyNumberFormat="1" applyFont="1" applyFill="1" applyBorder="1" applyAlignment="1" applyProtection="1">
      <alignment horizontal="center" vertical="center" wrapText="1"/>
      <protection hidden="1"/>
    </xf>
    <xf numFmtId="171" fontId="13" fillId="9" borderId="42" xfId="0" applyNumberFormat="1" applyFont="1" applyFill="1" applyBorder="1" applyAlignment="1" applyProtection="1">
      <alignment horizontal="center" vertical="center"/>
      <protection hidden="1"/>
    </xf>
    <xf numFmtId="171" fontId="13" fillId="9" borderId="8" xfId="0" applyNumberFormat="1" applyFont="1" applyFill="1" applyBorder="1" applyAlignment="1" applyProtection="1">
      <alignment horizontal="center" vertical="center"/>
      <protection hidden="1"/>
    </xf>
    <xf numFmtId="171" fontId="13" fillId="9" borderId="12" xfId="0" applyNumberFormat="1" applyFont="1" applyFill="1" applyBorder="1" applyAlignment="1" applyProtection="1">
      <alignment horizontal="center" vertical="center"/>
      <protection hidden="1"/>
    </xf>
    <xf numFmtId="0" fontId="4" fillId="16" borderId="4" xfId="0" applyFont="1" applyFill="1" applyBorder="1" applyAlignment="1" applyProtection="1">
      <alignment horizontal="left" vertical="center" wrapText="1"/>
      <protection hidden="1"/>
    </xf>
    <xf numFmtId="0" fontId="7" fillId="9" borderId="5" xfId="0" applyFont="1" applyFill="1" applyBorder="1" applyAlignment="1" applyProtection="1">
      <alignment horizontal="center" vertical="center"/>
      <protection hidden="1"/>
    </xf>
    <xf numFmtId="0" fontId="4" fillId="16" borderId="5" xfId="0" applyFont="1" applyFill="1" applyBorder="1" applyAlignment="1" applyProtection="1">
      <alignment horizontal="left" vertical="center" wrapText="1"/>
      <protection hidden="1"/>
    </xf>
    <xf numFmtId="1" fontId="7" fillId="9" borderId="5" xfId="0" applyNumberFormat="1" applyFont="1" applyFill="1" applyBorder="1" applyAlignment="1" applyProtection="1">
      <alignment horizontal="center" vertical="center"/>
      <protection hidden="1"/>
    </xf>
    <xf numFmtId="0" fontId="35" fillId="16" borderId="5" xfId="0" applyFont="1" applyFill="1" applyBorder="1" applyAlignment="1" applyProtection="1">
      <alignment horizontal="left" vertical="center" wrapText="1"/>
      <protection hidden="1"/>
    </xf>
    <xf numFmtId="1" fontId="7" fillId="9" borderId="39" xfId="0" applyNumberFormat="1" applyFont="1" applyFill="1" applyBorder="1" applyAlignment="1" applyProtection="1">
      <alignment horizontal="center" vertical="center" wrapText="1"/>
      <protection hidden="1"/>
    </xf>
    <xf numFmtId="0" fontId="35" fillId="16" borderId="8" xfId="0" applyFont="1" applyFill="1" applyBorder="1" applyAlignment="1" applyProtection="1">
      <alignment horizontal="center" vertical="center" wrapText="1"/>
      <protection hidden="1"/>
    </xf>
    <xf numFmtId="0" fontId="7" fillId="9" borderId="8" xfId="0" applyFont="1" applyFill="1" applyBorder="1" applyAlignment="1" applyProtection="1">
      <alignment horizontal="center" vertical="center"/>
      <protection hidden="1"/>
    </xf>
    <xf numFmtId="0" fontId="4" fillId="16" borderId="8" xfId="0" applyFont="1" applyFill="1" applyBorder="1" applyAlignment="1" applyProtection="1">
      <alignment horizontal="left" vertical="center" wrapText="1"/>
      <protection hidden="1"/>
    </xf>
    <xf numFmtId="0" fontId="7" fillId="9" borderId="12" xfId="0" applyFont="1" applyFill="1" applyBorder="1" applyAlignment="1" applyProtection="1">
      <alignment horizontal="center" vertical="center"/>
      <protection hidden="1"/>
    </xf>
    <xf numFmtId="2" fontId="8" fillId="6" borderId="31" xfId="2" applyNumberFormat="1" applyFont="1" applyFill="1" applyBorder="1" applyAlignment="1" applyProtection="1">
      <protection hidden="1"/>
    </xf>
    <xf numFmtId="1" fontId="13" fillId="13" borderId="33" xfId="3" applyNumberFormat="1" applyFont="1" applyBorder="1" applyAlignment="1" applyProtection="1">
      <alignment horizontal="center" vertical="center"/>
      <protection locked="0" hidden="1"/>
    </xf>
    <xf numFmtId="1" fontId="8" fillId="13" borderId="14" xfId="3" applyNumberFormat="1" applyFont="1" applyBorder="1" applyAlignment="1" applyProtection="1">
      <alignment horizontal="center" vertical="center"/>
      <protection locked="0" hidden="1"/>
    </xf>
    <xf numFmtId="1" fontId="9" fillId="13" borderId="16" xfId="3" applyNumberFormat="1" applyFont="1" applyBorder="1" applyAlignment="1" applyProtection="1">
      <alignment horizontal="center" vertical="center"/>
      <protection locked="0" hidden="1"/>
    </xf>
    <xf numFmtId="2" fontId="7" fillId="0" borderId="40" xfId="0" applyNumberFormat="1" applyFont="1" applyBorder="1" applyAlignment="1" applyProtection="1">
      <alignment vertical="center"/>
      <protection hidden="1"/>
    </xf>
    <xf numFmtId="0" fontId="7" fillId="9" borderId="43" xfId="0" applyFont="1" applyFill="1" applyBorder="1" applyAlignment="1" applyProtection="1">
      <alignment horizontal="center" vertical="center"/>
      <protection hidden="1"/>
    </xf>
    <xf numFmtId="0" fontId="7" fillId="9" borderId="41" xfId="0" applyFont="1" applyFill="1" applyBorder="1" applyAlignment="1" applyProtection="1">
      <alignment horizontal="center" vertical="center"/>
      <protection hidden="1"/>
    </xf>
    <xf numFmtId="0" fontId="7" fillId="9" borderId="42" xfId="0" applyFont="1" applyFill="1" applyBorder="1" applyAlignment="1" applyProtection="1">
      <alignment horizontal="center" vertical="center"/>
      <protection hidden="1"/>
    </xf>
    <xf numFmtId="0" fontId="7" fillId="9" borderId="7" xfId="0" applyFont="1" applyFill="1" applyBorder="1" applyAlignment="1" applyProtection="1">
      <alignment horizontal="center" vertical="center"/>
      <protection hidden="1"/>
    </xf>
    <xf numFmtId="2" fontId="7" fillId="9" borderId="57" xfId="0" applyNumberFormat="1" applyFont="1" applyFill="1" applyBorder="1" applyAlignment="1" applyProtection="1">
      <alignment horizontal="centerContinuous" vertical="center" wrapText="1"/>
      <protection hidden="1"/>
    </xf>
    <xf numFmtId="2" fontId="7" fillId="9" borderId="65" xfId="0" applyNumberFormat="1" applyFont="1" applyFill="1" applyBorder="1" applyAlignment="1" applyProtection="1">
      <alignment horizontal="centerContinuous" vertical="center" wrapText="1"/>
      <protection hidden="1"/>
    </xf>
    <xf numFmtId="2" fontId="7" fillId="9" borderId="68" xfId="0" applyNumberFormat="1" applyFont="1" applyFill="1" applyBorder="1" applyAlignment="1" applyProtection="1">
      <alignment horizontal="centerContinuous" vertical="center" wrapText="1"/>
      <protection hidden="1"/>
    </xf>
    <xf numFmtId="1" fontId="7" fillId="9" borderId="55" xfId="0" applyNumberFormat="1" applyFont="1" applyFill="1" applyBorder="1" applyAlignment="1" applyProtection="1">
      <alignment horizontal="centerContinuous" vertical="center" wrapText="1"/>
      <protection hidden="1"/>
    </xf>
    <xf numFmtId="2" fontId="7" fillId="9" borderId="6" xfId="0" applyNumberFormat="1" applyFont="1" applyFill="1" applyBorder="1" applyAlignment="1" applyProtection="1">
      <alignment horizontal="centerContinuous" vertical="center" wrapText="1"/>
      <protection hidden="1"/>
    </xf>
    <xf numFmtId="1" fontId="7" fillId="13" borderId="56" xfId="3" applyNumberFormat="1" applyFont="1" applyBorder="1" applyAlignment="1" applyProtection="1">
      <alignment horizontal="center" vertical="center"/>
      <protection locked="0" hidden="1"/>
    </xf>
    <xf numFmtId="2" fontId="7" fillId="6" borderId="10" xfId="0" applyNumberFormat="1" applyFont="1" applyFill="1" applyBorder="1" applyAlignment="1" applyProtection="1">
      <alignment horizontal="center" vertical="center" wrapText="1"/>
      <protection hidden="1"/>
    </xf>
    <xf numFmtId="2" fontId="7" fillId="6" borderId="10" xfId="0" applyNumberFormat="1" applyFont="1" applyFill="1" applyBorder="1" applyAlignment="1" applyProtection="1">
      <alignment horizontal="left" vertical="center"/>
      <protection hidden="1"/>
    </xf>
    <xf numFmtId="2" fontId="7" fillId="6" borderId="11" xfId="0" applyNumberFormat="1" applyFont="1" applyFill="1" applyBorder="1" applyAlignment="1" applyProtection="1">
      <alignment horizontal="left" vertical="center"/>
      <protection hidden="1"/>
    </xf>
    <xf numFmtId="2" fontId="7" fillId="6" borderId="73" xfId="0" applyNumberFormat="1" applyFont="1" applyFill="1" applyBorder="1" applyAlignment="1" applyProtection="1">
      <alignment horizontal="center" vertical="center" wrapText="1"/>
      <protection hidden="1"/>
    </xf>
    <xf numFmtId="169" fontId="7" fillId="6" borderId="70" xfId="0" applyNumberFormat="1" applyFont="1" applyFill="1" applyBorder="1" applyAlignment="1" applyProtection="1">
      <alignment horizontal="center" vertical="center"/>
      <protection hidden="1"/>
    </xf>
    <xf numFmtId="169" fontId="7" fillId="6" borderId="71" xfId="0" applyNumberFormat="1" applyFont="1" applyFill="1" applyBorder="1" applyAlignment="1" applyProtection="1">
      <alignment horizontal="center" vertical="center"/>
      <protection hidden="1"/>
    </xf>
    <xf numFmtId="2" fontId="13" fillId="6" borderId="15" xfId="0" applyNumberFormat="1" applyFont="1" applyFill="1" applyBorder="1" applyAlignment="1" applyProtection="1">
      <alignment vertical="center" wrapText="1"/>
      <protection hidden="1"/>
    </xf>
    <xf numFmtId="165" fontId="7" fillId="9" borderId="5" xfId="0" applyNumberFormat="1" applyFont="1" applyFill="1" applyBorder="1" applyAlignment="1" applyProtection="1">
      <alignment horizontal="center" vertical="center"/>
      <protection hidden="1"/>
    </xf>
    <xf numFmtId="2" fontId="18" fillId="6" borderId="7" xfId="0" applyNumberFormat="1" applyFont="1" applyFill="1" applyBorder="1" applyAlignment="1" applyProtection="1">
      <alignment horizontal="center" vertical="center" wrapText="1"/>
      <protection hidden="1"/>
    </xf>
    <xf numFmtId="2" fontId="18" fillId="6" borderId="8" xfId="0" applyNumberFormat="1" applyFont="1" applyFill="1" applyBorder="1" applyAlignment="1" applyProtection="1">
      <alignment horizontal="center" vertical="center" wrapText="1"/>
      <protection hidden="1"/>
    </xf>
    <xf numFmtId="2" fontId="13" fillId="6" borderId="5" xfId="0" applyNumberFormat="1" applyFont="1" applyFill="1" applyBorder="1" applyAlignment="1" applyProtection="1">
      <alignment horizontal="center" vertical="center" wrapText="1"/>
      <protection hidden="1"/>
    </xf>
    <xf numFmtId="0" fontId="3" fillId="6" borderId="5" xfId="2" applyFont="1" applyFill="1" applyBorder="1" applyAlignment="1" applyProtection="1">
      <alignment horizontal="center" vertical="center"/>
      <protection hidden="1"/>
    </xf>
    <xf numFmtId="0" fontId="38" fillId="6" borderId="8" xfId="2" applyFont="1" applyFill="1" applyBorder="1" applyAlignment="1" applyProtection="1">
      <alignment horizontal="center" vertical="center"/>
      <protection hidden="1"/>
    </xf>
    <xf numFmtId="0" fontId="29" fillId="6" borderId="33" xfId="0" applyFont="1" applyFill="1" applyBorder="1" applyAlignment="1" applyProtection="1">
      <alignment horizontal="center" vertical="center"/>
      <protection hidden="1"/>
    </xf>
    <xf numFmtId="0" fontId="29" fillId="0" borderId="39" xfId="0" applyFont="1" applyFill="1" applyBorder="1" applyAlignment="1" applyProtection="1">
      <alignment vertical="center"/>
      <protection hidden="1"/>
    </xf>
    <xf numFmtId="2" fontId="40" fillId="6" borderId="35" xfId="0" applyNumberFormat="1" applyFont="1" applyFill="1" applyBorder="1" applyAlignment="1" applyProtection="1">
      <alignment horizontal="center" vertical="center"/>
      <protection hidden="1"/>
    </xf>
    <xf numFmtId="0" fontId="30" fillId="0" borderId="58" xfId="0" applyFont="1" applyBorder="1" applyAlignment="1" applyProtection="1">
      <alignment horizontal="center" vertical="center"/>
      <protection hidden="1"/>
    </xf>
    <xf numFmtId="0" fontId="30" fillId="0" borderId="51" xfId="0" applyFont="1" applyBorder="1" applyProtection="1">
      <protection hidden="1"/>
    </xf>
    <xf numFmtId="0" fontId="30" fillId="0" borderId="51" xfId="0" applyFont="1" applyBorder="1" applyAlignment="1" applyProtection="1">
      <alignment horizontal="center" vertical="center"/>
      <protection hidden="1"/>
    </xf>
    <xf numFmtId="171" fontId="7" fillId="9" borderId="1" xfId="0" applyNumberFormat="1" applyFont="1" applyFill="1" applyBorder="1" applyAlignment="1" applyProtection="1">
      <alignment horizontal="center" vertical="center"/>
      <protection hidden="1"/>
    </xf>
    <xf numFmtId="179" fontId="29" fillId="0" borderId="41" xfId="0" applyNumberFormat="1" applyFont="1" applyFill="1" applyBorder="1" applyAlignment="1" applyProtection="1">
      <alignment horizontal="center" vertical="center"/>
      <protection hidden="1"/>
    </xf>
    <xf numFmtId="11" fontId="29" fillId="0" borderId="1" xfId="0" applyNumberFormat="1" applyFont="1" applyFill="1" applyBorder="1" applyAlignment="1" applyProtection="1">
      <alignment horizontal="center" vertical="center"/>
      <protection hidden="1"/>
    </xf>
    <xf numFmtId="171" fontId="9" fillId="6" borderId="9" xfId="0" applyNumberFormat="1" applyFont="1" applyFill="1" applyBorder="1" applyAlignment="1" applyProtection="1">
      <alignment horizontal="center" vertical="center"/>
      <protection hidden="1"/>
    </xf>
    <xf numFmtId="171" fontId="9" fillId="6" borderId="10" xfId="0" applyNumberFormat="1" applyFont="1" applyFill="1" applyBorder="1" applyAlignment="1" applyProtection="1">
      <alignment horizontal="center" vertical="center"/>
      <protection hidden="1"/>
    </xf>
    <xf numFmtId="171" fontId="9" fillId="6" borderId="11" xfId="0" applyNumberFormat="1" applyFont="1" applyFill="1" applyBorder="1" applyAlignment="1" applyProtection="1">
      <alignment horizontal="center" vertical="center"/>
      <protection hidden="1"/>
    </xf>
    <xf numFmtId="1" fontId="7" fillId="9" borderId="68" xfId="0" applyNumberFormat="1" applyFont="1" applyFill="1" applyBorder="1" applyAlignment="1" applyProtection="1">
      <alignment horizontal="centerContinuous" vertical="center" wrapText="1"/>
      <protection hidden="1"/>
    </xf>
    <xf numFmtId="0" fontId="6" fillId="2" borderId="0" xfId="0" applyFont="1" applyFill="1" applyBorder="1" applyAlignment="1" applyProtection="1">
      <alignment vertical="center" wrapText="1"/>
      <protection hidden="1"/>
    </xf>
    <xf numFmtId="0" fontId="5" fillId="2" borderId="0" xfId="0" applyFont="1" applyFill="1" applyAlignment="1" applyProtection="1">
      <alignment vertical="center" wrapText="1"/>
      <protection hidden="1"/>
    </xf>
    <xf numFmtId="0" fontId="15" fillId="0" borderId="0" xfId="0" applyFont="1" applyAlignment="1" applyProtection="1">
      <alignment horizontal="center" vertical="center" wrapText="1"/>
      <protection hidden="1"/>
    </xf>
    <xf numFmtId="0" fontId="5" fillId="0" borderId="0" xfId="0" applyFont="1" applyAlignment="1" applyProtection="1">
      <alignment vertical="center" wrapText="1"/>
      <protection hidden="1"/>
    </xf>
    <xf numFmtId="164" fontId="7" fillId="0" borderId="0" xfId="0" applyNumberFormat="1" applyFont="1" applyProtection="1">
      <protection hidden="1"/>
    </xf>
    <xf numFmtId="0" fontId="29" fillId="22" borderId="22" xfId="0" applyFont="1" applyFill="1" applyBorder="1" applyAlignment="1" applyProtection="1">
      <alignment horizontal="center" vertical="center"/>
      <protection hidden="1"/>
    </xf>
    <xf numFmtId="2" fontId="13" fillId="6" borderId="14" xfId="0" applyNumberFormat="1" applyFont="1" applyFill="1" applyBorder="1" applyAlignment="1" applyProtection="1">
      <alignment horizontal="center" vertical="center"/>
      <protection hidden="1"/>
    </xf>
    <xf numFmtId="2" fontId="7" fillId="6" borderId="15" xfId="0" applyNumberFormat="1" applyFont="1" applyFill="1" applyBorder="1" applyAlignment="1" applyProtection="1">
      <alignment horizontal="center" vertical="center"/>
      <protection hidden="1"/>
    </xf>
    <xf numFmtId="171" fontId="13" fillId="9" borderId="40" xfId="0" applyNumberFormat="1" applyFont="1" applyFill="1" applyBorder="1" applyAlignment="1" applyProtection="1">
      <alignment horizontal="center" vertical="center"/>
      <protection hidden="1"/>
    </xf>
    <xf numFmtId="171" fontId="16" fillId="3" borderId="48" xfId="0" applyNumberFormat="1" applyFont="1" applyFill="1" applyBorder="1" applyAlignment="1" applyProtection="1">
      <alignment horizontal="center" vertical="center"/>
      <protection hidden="1"/>
    </xf>
    <xf numFmtId="171" fontId="16" fillId="3" borderId="49" xfId="0" applyNumberFormat="1" applyFont="1" applyFill="1" applyBorder="1" applyAlignment="1" applyProtection="1">
      <alignment horizontal="center" vertical="center"/>
      <protection hidden="1"/>
    </xf>
    <xf numFmtId="171" fontId="7" fillId="0" borderId="0" xfId="0" applyNumberFormat="1" applyFont="1" applyFill="1" applyBorder="1" applyProtection="1">
      <protection hidden="1"/>
    </xf>
    <xf numFmtId="2" fontId="13" fillId="9" borderId="7" xfId="0" applyNumberFormat="1" applyFont="1" applyFill="1" applyBorder="1" applyAlignment="1" applyProtection="1">
      <alignment horizontal="center" vertical="center"/>
      <protection hidden="1"/>
    </xf>
    <xf numFmtId="2" fontId="13" fillId="9" borderId="8" xfId="0" applyNumberFormat="1" applyFont="1" applyFill="1" applyBorder="1" applyAlignment="1" applyProtection="1">
      <alignment horizontal="center" vertical="center"/>
      <protection hidden="1"/>
    </xf>
    <xf numFmtId="2" fontId="13" fillId="9" borderId="12" xfId="0" applyNumberFormat="1" applyFont="1" applyFill="1" applyBorder="1" applyAlignment="1" applyProtection="1">
      <alignment horizontal="center" vertical="center"/>
      <protection hidden="1"/>
    </xf>
    <xf numFmtId="2" fontId="13" fillId="6" borderId="65" xfId="0" applyNumberFormat="1" applyFont="1" applyFill="1" applyBorder="1" applyAlignment="1" applyProtection="1">
      <alignment horizontal="center" vertical="center"/>
      <protection hidden="1"/>
    </xf>
    <xf numFmtId="2" fontId="13" fillId="6" borderId="67" xfId="0" applyNumberFormat="1" applyFont="1" applyFill="1" applyBorder="1" applyAlignment="1" applyProtection="1">
      <alignment horizontal="center" vertical="center"/>
      <protection hidden="1"/>
    </xf>
    <xf numFmtId="2" fontId="13" fillId="6" borderId="65" xfId="0" applyNumberFormat="1" applyFont="1" applyFill="1" applyBorder="1" applyAlignment="1" applyProtection="1">
      <alignment horizontal="centerContinuous" vertical="center"/>
      <protection hidden="1"/>
    </xf>
    <xf numFmtId="2" fontId="13" fillId="6" borderId="6" xfId="0" applyNumberFormat="1" applyFont="1" applyFill="1" applyBorder="1" applyAlignment="1" applyProtection="1">
      <alignment horizontal="centerContinuous" vertical="center"/>
      <protection hidden="1"/>
    </xf>
    <xf numFmtId="0" fontId="29" fillId="6" borderId="41" xfId="0" applyNumberFormat="1" applyFont="1" applyFill="1" applyBorder="1" applyAlignment="1" applyProtection="1">
      <alignment horizontal="center" vertical="center"/>
      <protection hidden="1"/>
    </xf>
    <xf numFmtId="2" fontId="8" fillId="6" borderId="8" xfId="0" applyNumberFormat="1" applyFont="1" applyFill="1" applyBorder="1" applyAlignment="1" applyProtection="1">
      <alignment horizontal="center" vertical="center"/>
      <protection hidden="1"/>
    </xf>
    <xf numFmtId="2" fontId="13" fillId="6" borderId="49" xfId="0" applyNumberFormat="1" applyFont="1" applyFill="1" applyBorder="1" applyAlignment="1" applyProtection="1">
      <alignment horizontal="center" vertical="center" wrapText="1"/>
      <protection hidden="1"/>
    </xf>
    <xf numFmtId="0" fontId="6" fillId="0" borderId="42"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41" fillId="12" borderId="74" xfId="0" applyFont="1" applyFill="1" applyBorder="1" applyAlignment="1" applyProtection="1">
      <alignment horizontal="center" vertical="center"/>
      <protection hidden="1"/>
    </xf>
    <xf numFmtId="0" fontId="41" fillId="12" borderId="51" xfId="0" applyFont="1" applyFill="1" applyBorder="1" applyAlignment="1" applyProtection="1">
      <alignment horizontal="center" vertical="center"/>
      <protection hidden="1"/>
    </xf>
    <xf numFmtId="0" fontId="41" fillId="12" borderId="51" xfId="0" applyFont="1" applyFill="1" applyBorder="1" applyAlignment="1" applyProtection="1">
      <alignment horizontal="center" vertical="center" wrapText="1"/>
      <protection hidden="1"/>
    </xf>
    <xf numFmtId="0" fontId="41" fillId="12" borderId="59" xfId="0" applyFont="1" applyFill="1" applyBorder="1" applyAlignment="1" applyProtection="1">
      <alignment horizontal="center" vertical="center" wrapText="1"/>
      <protection hidden="1"/>
    </xf>
    <xf numFmtId="2" fontId="7" fillId="2" borderId="0" xfId="0" applyNumberFormat="1" applyFont="1" applyFill="1" applyBorder="1" applyAlignment="1" applyProtection="1">
      <alignment vertical="center"/>
      <protection locked="0" hidden="1"/>
    </xf>
    <xf numFmtId="180" fontId="30" fillId="15" borderId="1" xfId="0" applyNumberFormat="1" applyFont="1" applyFill="1" applyBorder="1" applyAlignment="1" applyProtection="1">
      <alignment horizontal="center" vertical="center"/>
      <protection hidden="1"/>
    </xf>
    <xf numFmtId="183" fontId="7" fillId="9" borderId="1" xfId="0" applyNumberFormat="1" applyFont="1" applyFill="1" applyBorder="1" applyAlignment="1" applyProtection="1">
      <alignment horizontal="center" vertical="center"/>
      <protection hidden="1"/>
    </xf>
    <xf numFmtId="2" fontId="8" fillId="6" borderId="9" xfId="0" applyNumberFormat="1" applyFont="1" applyFill="1" applyBorder="1" applyAlignment="1" applyProtection="1">
      <alignment horizontal="center" vertical="center"/>
      <protection hidden="1"/>
    </xf>
    <xf numFmtId="0" fontId="29" fillId="19" borderId="4" xfId="0" applyFont="1" applyFill="1" applyBorder="1" applyAlignment="1" applyProtection="1">
      <alignment horizontal="center" vertical="center"/>
      <protection hidden="1"/>
    </xf>
    <xf numFmtId="0" fontId="29" fillId="19" borderId="5" xfId="0" applyFont="1" applyFill="1" applyBorder="1" applyAlignment="1" applyProtection="1">
      <alignment horizontal="center" vertical="center"/>
      <protection hidden="1"/>
    </xf>
    <xf numFmtId="171" fontId="29" fillId="19" borderId="5" xfId="0" applyNumberFormat="1" applyFont="1" applyFill="1" applyBorder="1" applyAlignment="1" applyProtection="1">
      <alignment horizontal="center" vertical="center"/>
      <protection hidden="1"/>
    </xf>
    <xf numFmtId="0" fontId="29" fillId="19" borderId="59" xfId="0" applyFont="1" applyFill="1" applyBorder="1" applyAlignment="1" applyProtection="1">
      <alignment horizontal="center" vertical="center"/>
      <protection hidden="1"/>
    </xf>
    <xf numFmtId="0" fontId="29" fillId="19" borderId="41" xfId="0" applyFont="1" applyFill="1" applyBorder="1" applyAlignment="1" applyProtection="1">
      <alignment horizontal="center" vertical="center"/>
      <protection hidden="1"/>
    </xf>
    <xf numFmtId="0" fontId="29" fillId="19" borderId="20" xfId="0" applyFont="1" applyFill="1" applyBorder="1" applyAlignment="1" applyProtection="1">
      <alignment horizontal="center" vertical="center"/>
      <protection hidden="1"/>
    </xf>
    <xf numFmtId="171" fontId="29" fillId="19" borderId="20" xfId="0" applyNumberFormat="1" applyFont="1" applyFill="1" applyBorder="1" applyAlignment="1" applyProtection="1">
      <alignment horizontal="center" vertical="center"/>
      <protection hidden="1"/>
    </xf>
    <xf numFmtId="0" fontId="29" fillId="19" borderId="42" xfId="0" applyFont="1" applyFill="1" applyBorder="1" applyAlignment="1" applyProtection="1">
      <alignment horizontal="center" vertical="center"/>
      <protection hidden="1"/>
    </xf>
    <xf numFmtId="171" fontId="29" fillId="19" borderId="7" xfId="0" applyNumberFormat="1" applyFont="1" applyFill="1" applyBorder="1" applyAlignment="1" applyProtection="1">
      <alignment horizontal="center" vertical="center"/>
      <protection hidden="1"/>
    </xf>
    <xf numFmtId="0" fontId="29" fillId="19" borderId="49" xfId="0" applyFont="1" applyFill="1" applyBorder="1" applyAlignment="1" applyProtection="1">
      <alignment horizontal="center" vertical="center"/>
      <protection hidden="1"/>
    </xf>
    <xf numFmtId="171" fontId="29" fillId="19" borderId="49" xfId="0" applyNumberFormat="1" applyFont="1" applyFill="1" applyBorder="1" applyAlignment="1" applyProtection="1">
      <alignment horizontal="center" vertical="center"/>
      <protection hidden="1"/>
    </xf>
    <xf numFmtId="0" fontId="29" fillId="19" borderId="12" xfId="0" applyFont="1" applyFill="1" applyBorder="1" applyAlignment="1" applyProtection="1">
      <alignment horizontal="center" vertical="center"/>
      <protection hidden="1"/>
    </xf>
    <xf numFmtId="0" fontId="29" fillId="19" borderId="39" xfId="0" applyFont="1" applyFill="1" applyBorder="1" applyAlignment="1" applyProtection="1">
      <alignment horizontal="center" vertical="center"/>
      <protection hidden="1"/>
    </xf>
    <xf numFmtId="171" fontId="29" fillId="19" borderId="41" xfId="0" applyNumberFormat="1" applyFont="1" applyFill="1" applyBorder="1" applyAlignment="1" applyProtection="1">
      <alignment horizontal="center" vertical="center"/>
      <protection hidden="1"/>
    </xf>
    <xf numFmtId="171" fontId="29" fillId="19" borderId="1" xfId="0" applyNumberFormat="1" applyFont="1" applyFill="1" applyBorder="1" applyAlignment="1" applyProtection="1">
      <alignment horizontal="center" vertical="center"/>
      <protection hidden="1"/>
    </xf>
    <xf numFmtId="0" fontId="29" fillId="19" borderId="7" xfId="0" applyFont="1" applyFill="1" applyBorder="1" applyAlignment="1" applyProtection="1">
      <alignment horizontal="center" vertical="center"/>
      <protection hidden="1"/>
    </xf>
    <xf numFmtId="0" fontId="29" fillId="19" borderId="8" xfId="0" applyFont="1" applyFill="1" applyBorder="1" applyAlignment="1" applyProtection="1">
      <alignment horizontal="center" vertical="center"/>
      <protection hidden="1"/>
    </xf>
    <xf numFmtId="0" fontId="29" fillId="19" borderId="1" xfId="0" applyFont="1" applyFill="1" applyBorder="1" applyAlignment="1" applyProtection="1">
      <alignment horizontal="center" vertical="center"/>
      <protection hidden="1"/>
    </xf>
    <xf numFmtId="171" fontId="29" fillId="19" borderId="4" xfId="0" applyNumberFormat="1" applyFont="1" applyFill="1" applyBorder="1" applyAlignment="1" applyProtection="1">
      <alignment horizontal="center" vertical="center"/>
      <protection hidden="1"/>
    </xf>
    <xf numFmtId="177" fontId="29" fillId="19" borderId="5" xfId="0" applyNumberFormat="1" applyFont="1" applyFill="1" applyBorder="1" applyAlignment="1" applyProtection="1">
      <alignment horizontal="center" vertical="center" wrapText="1"/>
      <protection hidden="1"/>
    </xf>
    <xf numFmtId="177" fontId="29" fillId="19" borderId="39" xfId="0" applyNumberFormat="1" applyFont="1" applyFill="1" applyBorder="1" applyAlignment="1" applyProtection="1">
      <alignment horizontal="center" vertical="center" wrapText="1"/>
      <protection hidden="1"/>
    </xf>
    <xf numFmtId="177" fontId="29" fillId="19" borderId="1" xfId="0" applyNumberFormat="1" applyFont="1" applyFill="1" applyBorder="1" applyAlignment="1" applyProtection="1">
      <alignment horizontal="center" vertical="center" wrapText="1"/>
      <protection hidden="1"/>
    </xf>
    <xf numFmtId="177" fontId="29" fillId="19" borderId="42" xfId="0" applyNumberFormat="1" applyFont="1" applyFill="1" applyBorder="1" applyAlignment="1" applyProtection="1">
      <alignment horizontal="center" vertical="center" wrapText="1"/>
      <protection hidden="1"/>
    </xf>
    <xf numFmtId="177" fontId="29" fillId="19" borderId="8" xfId="0" applyNumberFormat="1" applyFont="1" applyFill="1" applyBorder="1" applyAlignment="1" applyProtection="1">
      <alignment horizontal="center" vertical="center" wrapText="1"/>
      <protection hidden="1"/>
    </xf>
    <xf numFmtId="177" fontId="29" fillId="19" borderId="12" xfId="0" applyNumberFormat="1" applyFont="1" applyFill="1" applyBorder="1" applyAlignment="1" applyProtection="1">
      <alignment horizontal="center" vertical="center" wrapText="1"/>
      <protection hidden="1"/>
    </xf>
    <xf numFmtId="171" fontId="29" fillId="19" borderId="39" xfId="0" applyNumberFormat="1" applyFont="1" applyFill="1" applyBorder="1" applyAlignment="1" applyProtection="1">
      <alignment horizontal="center" vertical="center" wrapText="1"/>
      <protection hidden="1"/>
    </xf>
    <xf numFmtId="171" fontId="29" fillId="19" borderId="42" xfId="0" applyNumberFormat="1" applyFont="1" applyFill="1" applyBorder="1" applyAlignment="1" applyProtection="1">
      <alignment horizontal="center" vertical="center" wrapText="1"/>
      <protection hidden="1"/>
    </xf>
    <xf numFmtId="171" fontId="29" fillId="19" borderId="8" xfId="0" applyNumberFormat="1" applyFont="1" applyFill="1" applyBorder="1" applyAlignment="1" applyProtection="1">
      <alignment horizontal="center" vertical="center"/>
      <protection hidden="1"/>
    </xf>
    <xf numFmtId="171" fontId="0" fillId="19" borderId="12" xfId="0" applyNumberFormat="1" applyFill="1" applyBorder="1" applyAlignment="1" applyProtection="1">
      <alignment horizontal="center" vertical="center" wrapText="1"/>
      <protection hidden="1"/>
    </xf>
    <xf numFmtId="171" fontId="29" fillId="19" borderId="12" xfId="0" applyNumberFormat="1" applyFont="1" applyFill="1" applyBorder="1" applyAlignment="1" applyProtection="1">
      <alignment horizontal="center" vertical="center" wrapText="1"/>
      <protection hidden="1"/>
    </xf>
    <xf numFmtId="0" fontId="29" fillId="19" borderId="12" xfId="0" applyFont="1" applyFill="1" applyBorder="1" applyAlignment="1" applyProtection="1">
      <alignment horizontal="center" vertical="center" wrapText="1"/>
      <protection hidden="1"/>
    </xf>
    <xf numFmtId="0" fontId="6" fillId="6" borderId="42" xfId="0" applyFont="1" applyFill="1" applyBorder="1" applyAlignment="1" applyProtection="1">
      <alignment horizontal="center" vertical="center"/>
      <protection hidden="1"/>
    </xf>
    <xf numFmtId="0" fontId="30" fillId="6" borderId="41" xfId="0" applyFont="1" applyFill="1" applyBorder="1" applyAlignment="1" applyProtection="1">
      <alignment horizontal="center" vertical="center"/>
      <protection hidden="1"/>
    </xf>
    <xf numFmtId="182" fontId="7" fillId="7" borderId="1" xfId="0" applyNumberFormat="1" applyFont="1" applyFill="1" applyBorder="1" applyAlignment="1" applyProtection="1">
      <alignment horizontal="center" vertical="center"/>
      <protection locked="0" hidden="1"/>
    </xf>
    <xf numFmtId="185" fontId="7" fillId="9" borderId="1" xfId="0" applyNumberFormat="1" applyFont="1" applyFill="1" applyBorder="1" applyAlignment="1" applyProtection="1">
      <alignment horizontal="center" vertical="center"/>
      <protection hidden="1"/>
    </xf>
    <xf numFmtId="166" fontId="7" fillId="6" borderId="69" xfId="0" applyNumberFormat="1" applyFont="1" applyFill="1" applyBorder="1" applyAlignment="1" applyProtection="1">
      <alignment horizontal="center" vertical="center"/>
      <protection hidden="1"/>
    </xf>
    <xf numFmtId="166" fontId="7" fillId="9" borderId="5" xfId="0" applyNumberFormat="1" applyFont="1" applyFill="1" applyBorder="1" applyAlignment="1" applyProtection="1">
      <alignment horizontal="center" vertical="center"/>
      <protection hidden="1"/>
    </xf>
    <xf numFmtId="164" fontId="7" fillId="9" borderId="39" xfId="0" applyNumberFormat="1" applyFont="1" applyFill="1" applyBorder="1" applyAlignment="1" applyProtection="1">
      <alignment horizontal="center" vertical="center"/>
      <protection hidden="1"/>
    </xf>
    <xf numFmtId="171" fontId="7" fillId="7" borderId="4" xfId="0" applyNumberFormat="1" applyFont="1" applyFill="1" applyBorder="1" applyAlignment="1" applyProtection="1">
      <alignment horizontal="center" vertical="center"/>
      <protection locked="0" hidden="1"/>
    </xf>
    <xf numFmtId="171" fontId="7" fillId="7" borderId="5" xfId="0" applyNumberFormat="1" applyFont="1" applyFill="1" applyBorder="1" applyAlignment="1" applyProtection="1">
      <alignment horizontal="center" vertical="center"/>
      <protection locked="0" hidden="1"/>
    </xf>
    <xf numFmtId="184" fontId="7" fillId="9" borderId="5" xfId="0" applyNumberFormat="1" applyFont="1" applyFill="1" applyBorder="1" applyAlignment="1" applyProtection="1">
      <alignment horizontal="center" vertical="center"/>
      <protection hidden="1"/>
    </xf>
    <xf numFmtId="183" fontId="7" fillId="9" borderId="8" xfId="0" applyNumberFormat="1" applyFont="1" applyFill="1" applyBorder="1" applyAlignment="1" applyProtection="1">
      <alignment horizontal="center" vertical="center"/>
      <protection hidden="1"/>
    </xf>
    <xf numFmtId="185" fontId="7" fillId="9" borderId="8" xfId="0" applyNumberFormat="1" applyFont="1" applyFill="1" applyBorder="1" applyAlignment="1" applyProtection="1">
      <alignment horizontal="center" vertical="center"/>
      <protection hidden="1"/>
    </xf>
    <xf numFmtId="1" fontId="7" fillId="6" borderId="58" xfId="0" applyNumberFormat="1" applyFont="1" applyFill="1" applyBorder="1" applyAlignment="1" applyProtection="1">
      <alignment horizontal="center" vertical="center"/>
      <protection hidden="1"/>
    </xf>
    <xf numFmtId="1" fontId="7" fillId="6" borderId="51" xfId="0" applyNumberFormat="1" applyFont="1" applyFill="1" applyBorder="1" applyAlignment="1" applyProtection="1">
      <alignment horizontal="center" vertical="center"/>
      <protection hidden="1"/>
    </xf>
    <xf numFmtId="1" fontId="7" fillId="6" borderId="59" xfId="0" applyNumberFormat="1" applyFont="1" applyFill="1" applyBorder="1" applyAlignment="1" applyProtection="1">
      <alignment horizontal="center" vertical="center"/>
      <protection hidden="1"/>
    </xf>
    <xf numFmtId="182" fontId="7" fillId="7" borderId="42" xfId="0" applyNumberFormat="1" applyFont="1" applyFill="1" applyBorder="1" applyAlignment="1" applyProtection="1">
      <alignment horizontal="center" vertical="center"/>
      <protection locked="0" hidden="1"/>
    </xf>
    <xf numFmtId="2" fontId="13" fillId="6" borderId="34" xfId="0" applyNumberFormat="1" applyFont="1" applyFill="1" applyBorder="1" applyAlignment="1" applyProtection="1">
      <alignment horizontal="center" wrapText="1"/>
      <protection hidden="1"/>
    </xf>
    <xf numFmtId="2" fontId="13" fillId="6" borderId="9" xfId="0" applyNumberFormat="1" applyFont="1" applyFill="1" applyBorder="1" applyAlignment="1" applyProtection="1">
      <alignment horizontal="center" vertical="center"/>
      <protection hidden="1"/>
    </xf>
    <xf numFmtId="2" fontId="13" fillId="6" borderId="10" xfId="0" applyNumberFormat="1" applyFont="1" applyFill="1" applyBorder="1" applyAlignment="1" applyProtection="1">
      <alignment horizontal="center" vertical="center"/>
      <protection hidden="1"/>
    </xf>
    <xf numFmtId="1" fontId="13" fillId="6" borderId="10" xfId="0" applyNumberFormat="1" applyFont="1" applyFill="1" applyBorder="1" applyAlignment="1" applyProtection="1">
      <alignment horizontal="center" vertical="center"/>
      <protection hidden="1"/>
    </xf>
    <xf numFmtId="1" fontId="13" fillId="6" borderId="11" xfId="0" applyNumberFormat="1" applyFont="1" applyFill="1" applyBorder="1" applyAlignment="1" applyProtection="1">
      <alignment horizontal="center" vertical="center"/>
      <protection hidden="1"/>
    </xf>
    <xf numFmtId="175" fontId="7" fillId="4" borderId="10" xfId="0" applyNumberFormat="1" applyFont="1" applyFill="1" applyBorder="1" applyAlignment="1" applyProtection="1">
      <alignment horizontal="center" vertical="center"/>
      <protection locked="0" hidden="1"/>
    </xf>
    <xf numFmtId="2" fontId="13" fillId="6" borderId="10" xfId="0" applyNumberFormat="1" applyFont="1" applyFill="1" applyBorder="1" applyAlignment="1" applyProtection="1">
      <alignment horizontal="center" vertical="center" wrapText="1"/>
      <protection hidden="1"/>
    </xf>
    <xf numFmtId="171" fontId="7" fillId="4" borderId="10" xfId="0" applyNumberFormat="1" applyFont="1" applyFill="1" applyBorder="1" applyAlignment="1" applyProtection="1">
      <alignment horizontal="center" vertical="center"/>
      <protection locked="0" hidden="1"/>
    </xf>
    <xf numFmtId="171" fontId="7" fillId="4" borderId="11" xfId="0" applyNumberFormat="1" applyFont="1" applyFill="1" applyBorder="1" applyAlignment="1" applyProtection="1">
      <alignment horizontal="center" vertical="center" wrapText="1"/>
      <protection locked="0" hidden="1"/>
    </xf>
    <xf numFmtId="2" fontId="7" fillId="6" borderId="35" xfId="0" applyNumberFormat="1" applyFont="1" applyFill="1" applyBorder="1" applyAlignment="1" applyProtection="1">
      <alignment horizontal="center" vertical="center" wrapText="1"/>
      <protection hidden="1"/>
    </xf>
    <xf numFmtId="1" fontId="24" fillId="6" borderId="35" xfId="0" applyNumberFormat="1" applyFont="1" applyFill="1" applyBorder="1" applyAlignment="1" applyProtection="1">
      <alignment horizontal="center" vertical="center" wrapText="1"/>
      <protection hidden="1"/>
    </xf>
    <xf numFmtId="2" fontId="13" fillId="6" borderId="35" xfId="0" applyNumberFormat="1" applyFont="1" applyFill="1" applyBorder="1" applyAlignment="1" applyProtection="1">
      <alignment horizontal="center" vertical="center"/>
      <protection hidden="1"/>
    </xf>
    <xf numFmtId="0" fontId="42" fillId="6" borderId="4" xfId="0" applyFont="1" applyFill="1" applyBorder="1" applyAlignment="1" applyProtection="1">
      <alignment horizontal="center" vertical="center" wrapText="1"/>
      <protection hidden="1"/>
    </xf>
    <xf numFmtId="0" fontId="43" fillId="6" borderId="5" xfId="0" applyFont="1" applyFill="1" applyBorder="1" applyAlignment="1" applyProtection="1">
      <alignment horizontal="center" vertical="center" wrapText="1"/>
      <protection hidden="1"/>
    </xf>
    <xf numFmtId="0" fontId="42" fillId="6" borderId="39" xfId="0" applyFont="1" applyFill="1" applyBorder="1" applyAlignment="1" applyProtection="1">
      <alignment horizontal="center" vertical="center" wrapText="1"/>
      <protection hidden="1"/>
    </xf>
    <xf numFmtId="0" fontId="42" fillId="6" borderId="7" xfId="0" applyFont="1" applyFill="1" applyBorder="1" applyAlignment="1" applyProtection="1">
      <alignment horizontal="center" vertical="center" wrapText="1"/>
      <protection hidden="1"/>
    </xf>
    <xf numFmtId="0" fontId="42" fillId="6" borderId="8" xfId="0" applyFont="1" applyFill="1" applyBorder="1" applyAlignment="1" applyProtection="1">
      <alignment horizontal="center" vertical="center" wrapText="1"/>
      <protection hidden="1"/>
    </xf>
    <xf numFmtId="0" fontId="42" fillId="6" borderId="12" xfId="0" applyFont="1" applyFill="1" applyBorder="1" applyAlignment="1" applyProtection="1">
      <alignment horizontal="center" vertical="center" wrapText="1"/>
      <protection hidden="1"/>
    </xf>
    <xf numFmtId="0" fontId="24" fillId="6" borderId="35" xfId="0" applyFont="1" applyFill="1" applyBorder="1" applyAlignment="1" applyProtection="1">
      <alignment horizontal="center" vertical="center" wrapText="1"/>
      <protection hidden="1"/>
    </xf>
    <xf numFmtId="0" fontId="29" fillId="6" borderId="1" xfId="0" applyNumberFormat="1" applyFont="1" applyFill="1" applyBorder="1" applyAlignment="1" applyProtection="1">
      <alignment horizontal="center" vertical="center" wrapText="1"/>
      <protection hidden="1"/>
    </xf>
    <xf numFmtId="0" fontId="29" fillId="6" borderId="42" xfId="0" applyNumberFormat="1" applyFont="1" applyFill="1" applyBorder="1" applyAlignment="1" applyProtection="1">
      <alignment horizontal="center" vertical="center" wrapText="1"/>
      <protection hidden="1"/>
    </xf>
    <xf numFmtId="0" fontId="29" fillId="15" borderId="1" xfId="0" applyNumberFormat="1" applyFont="1" applyFill="1" applyBorder="1" applyAlignment="1" applyProtection="1">
      <alignment horizontal="center" vertical="center"/>
      <protection locked="0" hidden="1"/>
    </xf>
    <xf numFmtId="168" fontId="29" fillId="15" borderId="1" xfId="0" applyNumberFormat="1" applyFont="1" applyFill="1" applyBorder="1" applyAlignment="1" applyProtection="1">
      <alignment horizontal="center" vertical="center"/>
      <protection locked="0" hidden="1"/>
    </xf>
    <xf numFmtId="0" fontId="29" fillId="15" borderId="1" xfId="0" applyNumberFormat="1" applyFont="1" applyFill="1" applyBorder="1" applyAlignment="1" applyProtection="1">
      <alignment horizontal="center" vertical="center" wrapText="1"/>
      <protection locked="0" hidden="1"/>
    </xf>
    <xf numFmtId="187" fontId="29" fillId="15" borderId="1" xfId="0" applyNumberFormat="1" applyFont="1" applyFill="1" applyBorder="1" applyAlignment="1" applyProtection="1">
      <alignment horizontal="center" vertical="center" wrapText="1"/>
      <protection locked="0" hidden="1"/>
    </xf>
    <xf numFmtId="0" fontId="30" fillId="19" borderId="5" xfId="0" applyFont="1" applyFill="1" applyBorder="1" applyAlignment="1" applyProtection="1">
      <alignment horizontal="center" vertical="center"/>
      <protection hidden="1"/>
    </xf>
    <xf numFmtId="169" fontId="30" fillId="19" borderId="5" xfId="0" applyNumberFormat="1" applyFont="1" applyFill="1" applyBorder="1" applyAlignment="1" applyProtection="1">
      <alignment horizontal="center" vertical="center"/>
      <protection hidden="1"/>
    </xf>
    <xf numFmtId="169" fontId="30" fillId="19" borderId="1" xfId="0" applyNumberFormat="1" applyFont="1" applyFill="1" applyBorder="1" applyAlignment="1" applyProtection="1">
      <alignment horizontal="center" vertical="center"/>
      <protection hidden="1"/>
    </xf>
    <xf numFmtId="0" fontId="0" fillId="19" borderId="1" xfId="0" applyFill="1" applyBorder="1" applyAlignment="1" applyProtection="1">
      <alignment horizontal="center" vertical="center" wrapText="1"/>
      <protection hidden="1"/>
    </xf>
    <xf numFmtId="0" fontId="0" fillId="19" borderId="8" xfId="0" applyFill="1" applyBorder="1" applyAlignment="1" applyProtection="1">
      <alignment horizontal="center" vertical="center" wrapText="1"/>
      <protection hidden="1"/>
    </xf>
    <xf numFmtId="0" fontId="0" fillId="19" borderId="42" xfId="0" applyFill="1" applyBorder="1" applyAlignment="1" applyProtection="1">
      <alignment horizontal="center" vertical="center" wrapText="1"/>
      <protection hidden="1"/>
    </xf>
    <xf numFmtId="0" fontId="0" fillId="19" borderId="12" xfId="0" applyFill="1" applyBorder="1" applyAlignment="1" applyProtection="1">
      <alignment horizontal="center" vertical="center" wrapText="1"/>
      <protection hidden="1"/>
    </xf>
    <xf numFmtId="0" fontId="29" fillId="19" borderId="42" xfId="0" applyFont="1" applyFill="1" applyBorder="1" applyAlignment="1" applyProtection="1">
      <alignment horizontal="center" vertical="center" wrapText="1"/>
      <protection hidden="1"/>
    </xf>
    <xf numFmtId="0" fontId="29" fillId="19" borderId="39" xfId="0" applyFont="1" applyFill="1" applyBorder="1" applyAlignment="1" applyProtection="1">
      <alignment horizontal="center" vertical="center" wrapText="1"/>
      <protection hidden="1"/>
    </xf>
    <xf numFmtId="0" fontId="30" fillId="19" borderId="1" xfId="0" applyFont="1" applyFill="1" applyBorder="1" applyAlignment="1" applyProtection="1">
      <alignment horizontal="center" vertical="center" wrapText="1"/>
      <protection hidden="1"/>
    </xf>
    <xf numFmtId="0" fontId="30" fillId="19" borderId="1" xfId="0" applyFont="1" applyFill="1" applyBorder="1" applyAlignment="1" applyProtection="1">
      <alignment horizontal="center" vertical="center"/>
      <protection hidden="1"/>
    </xf>
    <xf numFmtId="168" fontId="30" fillId="15" borderId="1" xfId="0" applyNumberFormat="1" applyFont="1" applyFill="1" applyBorder="1" applyAlignment="1" applyProtection="1">
      <alignment horizontal="center" vertical="center"/>
      <protection hidden="1"/>
    </xf>
    <xf numFmtId="181" fontId="30" fillId="15" borderId="1" xfId="0" applyNumberFormat="1" applyFont="1" applyFill="1" applyBorder="1" applyAlignment="1" applyProtection="1">
      <alignment horizontal="center" vertical="center"/>
      <protection hidden="1"/>
    </xf>
    <xf numFmtId="0" fontId="30" fillId="15" borderId="1" xfId="4" applyFont="1" applyFill="1" applyBorder="1" applyProtection="1">
      <alignment horizontal="center" vertical="center"/>
      <protection hidden="1"/>
    </xf>
    <xf numFmtId="0" fontId="30" fillId="15" borderId="1" xfId="0" applyFont="1" applyFill="1" applyBorder="1" applyProtection="1">
      <protection hidden="1"/>
    </xf>
    <xf numFmtId="168" fontId="30" fillId="15" borderId="8" xfId="0" applyNumberFormat="1" applyFont="1" applyFill="1" applyBorder="1" applyAlignment="1" applyProtection="1">
      <alignment horizontal="center" vertical="center"/>
      <protection hidden="1"/>
    </xf>
    <xf numFmtId="168" fontId="30" fillId="15" borderId="5" xfId="0" applyNumberFormat="1" applyFont="1" applyFill="1" applyBorder="1" applyAlignment="1" applyProtection="1">
      <alignment horizontal="center" vertical="center"/>
      <protection hidden="1"/>
    </xf>
    <xf numFmtId="181" fontId="30" fillId="15" borderId="5" xfId="0" applyNumberFormat="1" applyFont="1" applyFill="1" applyBorder="1" applyAlignment="1" applyProtection="1">
      <alignment horizontal="center" vertical="center"/>
      <protection hidden="1"/>
    </xf>
    <xf numFmtId="181" fontId="30" fillId="15" borderId="8" xfId="0" applyNumberFormat="1" applyFont="1" applyFill="1" applyBorder="1" applyAlignment="1" applyProtection="1">
      <alignment horizontal="center" vertical="center"/>
      <protection hidden="1"/>
    </xf>
    <xf numFmtId="0" fontId="30" fillId="15" borderId="8" xfId="4" applyFont="1" applyFill="1" applyBorder="1" applyProtection="1">
      <alignment horizontal="center" vertical="center"/>
      <protection hidden="1"/>
    </xf>
    <xf numFmtId="0" fontId="30" fillId="15" borderId="5" xfId="4" applyFont="1" applyFill="1" applyBorder="1" applyProtection="1">
      <alignment horizontal="center" vertical="center"/>
      <protection hidden="1"/>
    </xf>
    <xf numFmtId="0" fontId="30" fillId="15" borderId="5" xfId="0" applyFont="1" applyFill="1" applyBorder="1" applyProtection="1">
      <protection hidden="1"/>
    </xf>
    <xf numFmtId="171" fontId="29" fillId="19" borderId="39" xfId="0" applyNumberFormat="1" applyFont="1" applyFill="1" applyBorder="1" applyAlignment="1" applyProtection="1">
      <alignment horizontal="center" vertical="center"/>
      <protection hidden="1"/>
    </xf>
    <xf numFmtId="171" fontId="29" fillId="19" borderId="42" xfId="0" applyNumberFormat="1" applyFont="1" applyFill="1" applyBorder="1" applyAlignment="1" applyProtection="1">
      <alignment horizontal="center" vertical="center"/>
      <protection hidden="1"/>
    </xf>
    <xf numFmtId="2" fontId="29" fillId="19" borderId="5" xfId="0" applyNumberFormat="1" applyFont="1" applyFill="1" applyBorder="1" applyAlignment="1" applyProtection="1">
      <alignment horizontal="center" vertical="center"/>
      <protection hidden="1"/>
    </xf>
    <xf numFmtId="2" fontId="29" fillId="19" borderId="1" xfId="0" applyNumberFormat="1" applyFont="1" applyFill="1" applyBorder="1" applyAlignment="1" applyProtection="1">
      <alignment horizontal="center" vertical="center"/>
      <protection hidden="1"/>
    </xf>
    <xf numFmtId="2" fontId="29" fillId="19" borderId="8" xfId="0" applyNumberFormat="1" applyFont="1" applyFill="1" applyBorder="1" applyAlignment="1" applyProtection="1">
      <alignment horizontal="center" vertical="center"/>
      <protection hidden="1"/>
    </xf>
    <xf numFmtId="0" fontId="30" fillId="19" borderId="5" xfId="0" applyFont="1" applyFill="1" applyBorder="1" applyAlignment="1" applyProtection="1">
      <alignment horizontal="center" vertical="center" wrapText="1"/>
      <protection hidden="1"/>
    </xf>
    <xf numFmtId="0" fontId="0" fillId="19" borderId="5" xfId="0" applyFill="1" applyBorder="1" applyAlignment="1" applyProtection="1">
      <alignment horizontal="center" vertical="center" wrapText="1"/>
      <protection hidden="1"/>
    </xf>
    <xf numFmtId="0" fontId="0" fillId="19" borderId="8" xfId="0" applyFill="1" applyBorder="1" applyAlignment="1" applyProtection="1">
      <alignment vertical="center" wrapText="1"/>
      <protection hidden="1"/>
    </xf>
    <xf numFmtId="4" fontId="29" fillId="19" borderId="5" xfId="0" applyNumberFormat="1" applyFont="1" applyFill="1" applyBorder="1" applyAlignment="1" applyProtection="1">
      <alignment horizontal="center" vertical="center" wrapText="1"/>
      <protection hidden="1"/>
    </xf>
    <xf numFmtId="178" fontId="29" fillId="19" borderId="39" xfId="0" applyNumberFormat="1" applyFont="1" applyFill="1" applyBorder="1" applyAlignment="1" applyProtection="1">
      <alignment horizontal="center" vertical="center" wrapText="1"/>
      <protection hidden="1"/>
    </xf>
    <xf numFmtId="4" fontId="29" fillId="19" borderId="1" xfId="0" applyNumberFormat="1" applyFont="1" applyFill="1" applyBorder="1" applyAlignment="1" applyProtection="1">
      <alignment horizontal="center" vertical="center" wrapText="1"/>
      <protection hidden="1"/>
    </xf>
    <xf numFmtId="4" fontId="29" fillId="19" borderId="8" xfId="0" applyNumberFormat="1" applyFont="1" applyFill="1" applyBorder="1" applyAlignment="1" applyProtection="1">
      <alignment horizontal="center" vertical="center" wrapText="1"/>
      <protection hidden="1"/>
    </xf>
    <xf numFmtId="1" fontId="9" fillId="13" borderId="16" xfId="3" applyNumberFormat="1" applyFont="1" applyBorder="1" applyAlignment="1" applyProtection="1">
      <alignment horizontal="center" vertical="center" wrapText="1"/>
      <protection locked="0" hidden="1"/>
    </xf>
    <xf numFmtId="191" fontId="7" fillId="9" borderId="1" xfId="0" applyNumberFormat="1" applyFont="1" applyFill="1" applyBorder="1" applyAlignment="1" applyProtection="1">
      <alignment horizontal="center" vertical="center"/>
      <protection hidden="1"/>
    </xf>
    <xf numFmtId="192" fontId="7" fillId="7" borderId="4" xfId="0" applyNumberFormat="1" applyFont="1" applyFill="1" applyBorder="1" applyAlignment="1" applyProtection="1">
      <alignment horizontal="center" vertical="center"/>
      <protection locked="0" hidden="1"/>
    </xf>
    <xf numFmtId="192" fontId="7" fillId="7" borderId="1" xfId="0" applyNumberFormat="1" applyFont="1" applyFill="1" applyBorder="1" applyAlignment="1" applyProtection="1">
      <alignment horizontal="center" vertical="center"/>
      <protection locked="0" hidden="1"/>
    </xf>
    <xf numFmtId="192" fontId="7" fillId="7" borderId="5" xfId="0" applyNumberFormat="1" applyFont="1" applyFill="1" applyBorder="1" applyAlignment="1" applyProtection="1">
      <alignment horizontal="center" vertical="center"/>
      <protection locked="0" hidden="1"/>
    </xf>
    <xf numFmtId="192" fontId="7" fillId="7" borderId="39" xfId="0" applyNumberFormat="1" applyFont="1" applyFill="1" applyBorder="1" applyAlignment="1" applyProtection="1">
      <alignment horizontal="center" vertical="center"/>
      <protection locked="0" hidden="1"/>
    </xf>
    <xf numFmtId="192" fontId="7" fillId="7" borderId="41" xfId="0" applyNumberFormat="1" applyFont="1" applyFill="1" applyBorder="1" applyAlignment="1" applyProtection="1">
      <alignment horizontal="center" vertical="center"/>
      <protection locked="0" hidden="1"/>
    </xf>
    <xf numFmtId="192" fontId="7" fillId="7" borderId="42" xfId="0" applyNumberFormat="1" applyFont="1" applyFill="1" applyBorder="1" applyAlignment="1" applyProtection="1">
      <alignment horizontal="center" vertical="center"/>
      <protection locked="0" hidden="1"/>
    </xf>
    <xf numFmtId="192" fontId="7" fillId="7" borderId="7" xfId="0" applyNumberFormat="1" applyFont="1" applyFill="1" applyBorder="1" applyAlignment="1" applyProtection="1">
      <alignment horizontal="center" vertical="center"/>
      <protection locked="0" hidden="1"/>
    </xf>
    <xf numFmtId="192" fontId="7" fillId="7" borderId="8" xfId="0" applyNumberFormat="1" applyFont="1" applyFill="1" applyBorder="1" applyAlignment="1" applyProtection="1">
      <alignment horizontal="center" vertical="center"/>
      <protection locked="0" hidden="1"/>
    </xf>
    <xf numFmtId="2" fontId="7" fillId="6" borderId="69" xfId="0" applyNumberFormat="1" applyFont="1" applyFill="1" applyBorder="1" applyAlignment="1" applyProtection="1">
      <alignment horizontal="center" vertical="center"/>
      <protection hidden="1"/>
    </xf>
    <xf numFmtId="1" fontId="7" fillId="6" borderId="70" xfId="0" applyNumberFormat="1" applyFont="1" applyFill="1" applyBorder="1" applyAlignment="1" applyProtection="1">
      <alignment horizontal="center" vertical="center" wrapText="1"/>
      <protection hidden="1"/>
    </xf>
    <xf numFmtId="1" fontId="7" fillId="6" borderId="71" xfId="0" applyNumberFormat="1" applyFont="1" applyFill="1" applyBorder="1" applyAlignment="1" applyProtection="1">
      <alignment horizontal="center" vertical="center" wrapText="1"/>
      <protection hidden="1"/>
    </xf>
    <xf numFmtId="194" fontId="7" fillId="7" borderId="12" xfId="0" applyNumberFormat="1" applyFont="1" applyFill="1" applyBorder="1" applyAlignment="1" applyProtection="1">
      <alignment horizontal="center" vertical="center"/>
      <protection locked="0" hidden="1"/>
    </xf>
    <xf numFmtId="192" fontId="7" fillId="7" borderId="45" xfId="0" applyNumberFormat="1" applyFont="1" applyFill="1" applyBorder="1" applyAlignment="1" applyProtection="1">
      <alignment horizontal="center" vertical="center"/>
      <protection locked="0" hidden="1"/>
    </xf>
    <xf numFmtId="192" fontId="7" fillId="7" borderId="32" xfId="0" applyNumberFormat="1" applyFont="1" applyFill="1" applyBorder="1" applyAlignment="1" applyProtection="1">
      <alignment horizontal="center" vertical="center"/>
      <protection locked="0" hidden="1"/>
    </xf>
    <xf numFmtId="171" fontId="7" fillId="9" borderId="42" xfId="0" applyNumberFormat="1" applyFont="1" applyFill="1" applyBorder="1" applyAlignment="1" applyProtection="1">
      <alignment horizontal="center" vertical="center"/>
      <protection hidden="1"/>
    </xf>
    <xf numFmtId="171" fontId="7" fillId="9" borderId="3" xfId="0" applyNumberFormat="1" applyFont="1" applyFill="1" applyBorder="1" applyAlignment="1" applyProtection="1">
      <alignment horizontal="center" vertical="center"/>
      <protection hidden="1"/>
    </xf>
    <xf numFmtId="171" fontId="7" fillId="9" borderId="13" xfId="0" applyNumberFormat="1" applyFont="1" applyFill="1" applyBorder="1" applyAlignment="1" applyProtection="1">
      <alignment horizontal="center" vertical="center"/>
      <protection hidden="1"/>
    </xf>
    <xf numFmtId="171" fontId="7" fillId="6" borderId="70" xfId="0" applyNumberFormat="1" applyFont="1" applyFill="1" applyBorder="1" applyAlignment="1" applyProtection="1">
      <alignment horizontal="center" vertical="center"/>
      <protection hidden="1"/>
    </xf>
    <xf numFmtId="171" fontId="7" fillId="6" borderId="71" xfId="0" applyNumberFormat="1" applyFont="1" applyFill="1" applyBorder="1" applyAlignment="1" applyProtection="1">
      <alignment horizontal="center" vertical="center"/>
      <protection hidden="1"/>
    </xf>
    <xf numFmtId="171" fontId="7" fillId="9" borderId="18" xfId="0" applyNumberFormat="1" applyFont="1" applyFill="1" applyBorder="1" applyAlignment="1" applyProtection="1">
      <alignment horizontal="center" vertical="center"/>
      <protection hidden="1"/>
    </xf>
    <xf numFmtId="171" fontId="7" fillId="9" borderId="20" xfId="0" applyNumberFormat="1" applyFont="1" applyFill="1" applyBorder="1" applyAlignment="1" applyProtection="1">
      <alignment horizontal="center" vertical="center"/>
      <protection hidden="1"/>
    </xf>
    <xf numFmtId="171" fontId="7" fillId="9" borderId="44" xfId="0" applyNumberFormat="1" applyFont="1" applyFill="1" applyBorder="1" applyAlignment="1" applyProtection="1">
      <alignment horizontal="center" vertical="center"/>
      <protection hidden="1"/>
    </xf>
    <xf numFmtId="2" fontId="7" fillId="6" borderId="9" xfId="0" applyNumberFormat="1" applyFont="1" applyFill="1" applyBorder="1" applyAlignment="1" applyProtection="1">
      <alignment horizontal="center" vertical="center"/>
      <protection hidden="1"/>
    </xf>
    <xf numFmtId="2" fontId="7" fillId="6" borderId="11" xfId="0" applyNumberFormat="1" applyFont="1" applyFill="1" applyBorder="1" applyAlignment="1" applyProtection="1">
      <alignment horizontal="center" vertical="center" wrapText="1"/>
      <protection hidden="1"/>
    </xf>
    <xf numFmtId="2" fontId="7" fillId="6" borderId="16" xfId="0" applyNumberFormat="1" applyFont="1" applyFill="1" applyBorder="1" applyAlignment="1" applyProtection="1">
      <alignment horizontal="center" vertical="center" wrapText="1"/>
      <protection hidden="1"/>
    </xf>
    <xf numFmtId="193" fontId="7" fillId="7" borderId="41" xfId="0" applyNumberFormat="1" applyFont="1" applyFill="1" applyBorder="1" applyAlignment="1" applyProtection="1">
      <alignment horizontal="center" vertical="center"/>
      <protection locked="0" hidden="1"/>
    </xf>
    <xf numFmtId="2" fontId="7" fillId="6" borderId="58" xfId="0" applyNumberFormat="1" applyFont="1" applyFill="1" applyBorder="1" applyAlignment="1" applyProtection="1">
      <alignment horizontal="center" vertical="center" wrapText="1"/>
      <protection hidden="1"/>
    </xf>
    <xf numFmtId="2" fontId="7" fillId="6" borderId="51" xfId="0" applyNumberFormat="1" applyFont="1" applyFill="1" applyBorder="1" applyAlignment="1" applyProtection="1">
      <alignment horizontal="center" vertical="center" wrapText="1"/>
      <protection hidden="1"/>
    </xf>
    <xf numFmtId="2" fontId="7" fillId="6" borderId="51" xfId="0" applyNumberFormat="1" applyFont="1" applyFill="1" applyBorder="1" applyAlignment="1" applyProtection="1">
      <alignment horizontal="left" vertical="center"/>
      <protection hidden="1"/>
    </xf>
    <xf numFmtId="2" fontId="7" fillId="6" borderId="59" xfId="0" applyNumberFormat="1" applyFont="1" applyFill="1" applyBorder="1" applyAlignment="1" applyProtection="1">
      <alignment horizontal="left" vertical="center"/>
      <protection hidden="1"/>
    </xf>
    <xf numFmtId="168" fontId="30" fillId="19" borderId="5" xfId="0" applyNumberFormat="1" applyFont="1" applyFill="1" applyBorder="1" applyAlignment="1" applyProtection="1">
      <alignment horizontal="center" vertical="center" wrapText="1"/>
      <protection hidden="1"/>
    </xf>
    <xf numFmtId="168" fontId="30" fillId="19" borderId="1" xfId="0" applyNumberFormat="1" applyFont="1" applyFill="1" applyBorder="1" applyAlignment="1" applyProtection="1">
      <alignment horizontal="center" vertical="center" wrapText="1"/>
      <protection hidden="1"/>
    </xf>
    <xf numFmtId="168" fontId="30" fillId="19" borderId="8" xfId="0" applyNumberFormat="1" applyFont="1" applyFill="1" applyBorder="1" applyAlignment="1" applyProtection="1">
      <alignment horizontal="center" vertical="center" wrapText="1"/>
      <protection hidden="1"/>
    </xf>
    <xf numFmtId="3" fontId="30" fillId="19" borderId="4" xfId="0" applyNumberFormat="1" applyFont="1" applyFill="1" applyBorder="1" applyAlignment="1" applyProtection="1">
      <alignment horizontal="center" vertical="center"/>
      <protection hidden="1"/>
    </xf>
    <xf numFmtId="3" fontId="30" fillId="19" borderId="5" xfId="0" applyNumberFormat="1" applyFont="1" applyFill="1" applyBorder="1" applyAlignment="1" applyProtection="1">
      <alignment horizontal="center" vertical="center" wrapText="1"/>
      <protection hidden="1"/>
    </xf>
    <xf numFmtId="169" fontId="30" fillId="19" borderId="39" xfId="0" applyNumberFormat="1" applyFont="1" applyFill="1" applyBorder="1" applyAlignment="1" applyProtection="1">
      <alignment horizontal="center" vertical="center"/>
      <protection hidden="1"/>
    </xf>
    <xf numFmtId="3" fontId="30" fillId="19" borderId="41" xfId="0" applyNumberFormat="1" applyFont="1" applyFill="1" applyBorder="1" applyAlignment="1" applyProtection="1">
      <alignment horizontal="center" vertical="center"/>
      <protection hidden="1"/>
    </xf>
    <xf numFmtId="3" fontId="30" fillId="19" borderId="1" xfId="0" applyNumberFormat="1" applyFont="1" applyFill="1" applyBorder="1" applyAlignment="1" applyProtection="1">
      <alignment horizontal="center" vertical="center" wrapText="1"/>
      <protection hidden="1"/>
    </xf>
    <xf numFmtId="171" fontId="30" fillId="19" borderId="1" xfId="0" applyNumberFormat="1" applyFont="1" applyFill="1" applyBorder="1" applyAlignment="1" applyProtection="1">
      <alignment horizontal="center" vertical="center"/>
      <protection hidden="1"/>
    </xf>
    <xf numFmtId="2" fontId="30" fillId="19" borderId="1" xfId="0" applyNumberFormat="1" applyFont="1" applyFill="1" applyBorder="1" applyAlignment="1" applyProtection="1">
      <alignment horizontal="center" vertical="center"/>
      <protection hidden="1"/>
    </xf>
    <xf numFmtId="169" fontId="30" fillId="19" borderId="42" xfId="0" applyNumberFormat="1" applyFont="1" applyFill="1" applyBorder="1" applyAlignment="1" applyProtection="1">
      <alignment horizontal="center" vertical="center"/>
      <protection hidden="1"/>
    </xf>
    <xf numFmtId="49" fontId="30" fillId="19" borderId="1" xfId="0" applyNumberFormat="1" applyFont="1" applyFill="1" applyBorder="1" applyAlignment="1" applyProtection="1">
      <alignment horizontal="center" vertical="center" wrapText="1"/>
      <protection hidden="1"/>
    </xf>
    <xf numFmtId="3" fontId="30" fillId="19" borderId="7" xfId="0" applyNumberFormat="1" applyFont="1" applyFill="1" applyBorder="1" applyAlignment="1" applyProtection="1">
      <alignment horizontal="center" vertical="center"/>
      <protection hidden="1"/>
    </xf>
    <xf numFmtId="0" fontId="30" fillId="19" borderId="8" xfId="0" applyFont="1" applyFill="1" applyBorder="1" applyAlignment="1" applyProtection="1">
      <alignment horizontal="center" vertical="center"/>
      <protection hidden="1"/>
    </xf>
    <xf numFmtId="3" fontId="30" fillId="19" borderId="8" xfId="0" applyNumberFormat="1" applyFont="1" applyFill="1" applyBorder="1" applyAlignment="1" applyProtection="1">
      <alignment horizontal="center" vertical="center"/>
      <protection hidden="1"/>
    </xf>
    <xf numFmtId="0" fontId="30" fillId="19" borderId="8" xfId="0" applyFont="1" applyFill="1" applyBorder="1" applyAlignment="1" applyProtection="1">
      <alignment horizontal="center" vertical="center" wrapText="1"/>
      <protection hidden="1"/>
    </xf>
    <xf numFmtId="169" fontId="30" fillId="19" borderId="8" xfId="0" applyNumberFormat="1" applyFont="1" applyFill="1" applyBorder="1" applyAlignment="1" applyProtection="1">
      <alignment horizontal="center" vertical="center"/>
      <protection hidden="1"/>
    </xf>
    <xf numFmtId="169" fontId="30" fillId="19" borderId="12" xfId="0" applyNumberFormat="1" applyFont="1" applyFill="1" applyBorder="1" applyAlignment="1" applyProtection="1">
      <alignment horizontal="center" vertical="center"/>
      <protection hidden="1"/>
    </xf>
    <xf numFmtId="187" fontId="7" fillId="2" borderId="0" xfId="0" applyNumberFormat="1" applyFont="1" applyFill="1" applyBorder="1" applyAlignment="1" applyProtection="1">
      <alignment horizontal="center"/>
      <protection hidden="1"/>
    </xf>
    <xf numFmtId="14" fontId="29" fillId="15" borderId="1" xfId="0" applyNumberFormat="1" applyFont="1" applyFill="1" applyBorder="1" applyAlignment="1" applyProtection="1">
      <alignment horizontal="center" vertical="center" wrapText="1"/>
      <protection locked="0" hidden="1"/>
    </xf>
    <xf numFmtId="0" fontId="0" fillId="19" borderId="1" xfId="0" applyFill="1" applyBorder="1" applyAlignment="1" applyProtection="1">
      <alignment horizontal="center" vertical="center" wrapText="1"/>
      <protection hidden="1"/>
    </xf>
    <xf numFmtId="0" fontId="0" fillId="19" borderId="8" xfId="0" applyFill="1" applyBorder="1" applyAlignment="1" applyProtection="1">
      <alignment horizontal="center" vertical="center" wrapText="1"/>
      <protection hidden="1"/>
    </xf>
    <xf numFmtId="2" fontId="13" fillId="6" borderId="5" xfId="0" applyNumberFormat="1" applyFont="1" applyFill="1" applyBorder="1" applyAlignment="1" applyProtection="1">
      <alignment horizontal="center" vertical="center"/>
      <protection hidden="1"/>
    </xf>
    <xf numFmtId="164" fontId="29" fillId="19" borderId="5" xfId="0" applyNumberFormat="1" applyFont="1" applyFill="1" applyBorder="1" applyAlignment="1" applyProtection="1">
      <alignment horizontal="center" vertical="center"/>
      <protection hidden="1"/>
    </xf>
    <xf numFmtId="171" fontId="30" fillId="19" borderId="1" xfId="0" applyNumberFormat="1" applyFont="1" applyFill="1" applyBorder="1" applyAlignment="1" applyProtection="1">
      <alignment horizontal="center" vertical="center" wrapText="1"/>
      <protection hidden="1"/>
    </xf>
    <xf numFmtId="177" fontId="0" fillId="19" borderId="1" xfId="0" applyNumberFormat="1" applyFill="1" applyBorder="1" applyAlignment="1" applyProtection="1">
      <alignment horizontal="center" vertical="center" wrapText="1"/>
      <protection hidden="1"/>
    </xf>
    <xf numFmtId="4" fontId="0" fillId="19" borderId="1" xfId="0" applyNumberFormat="1" applyFill="1" applyBorder="1" applyAlignment="1" applyProtection="1">
      <alignment horizontal="center" vertical="center" wrapText="1"/>
      <protection hidden="1"/>
    </xf>
    <xf numFmtId="0" fontId="30" fillId="19" borderId="20" xfId="0" applyFont="1" applyFill="1" applyBorder="1" applyAlignment="1" applyProtection="1">
      <alignment horizontal="center" vertical="center" wrapText="1"/>
      <protection hidden="1"/>
    </xf>
    <xf numFmtId="0" fontId="0" fillId="19" borderId="20" xfId="0" applyFill="1" applyBorder="1" applyAlignment="1" applyProtection="1">
      <alignment horizontal="center" vertical="center" wrapText="1"/>
      <protection hidden="1"/>
    </xf>
    <xf numFmtId="3" fontId="29" fillId="20" borderId="4" xfId="0" applyNumberFormat="1" applyFont="1" applyFill="1" applyBorder="1" applyAlignment="1" applyProtection="1">
      <alignment horizontal="center" vertical="center" wrapText="1"/>
      <protection hidden="1"/>
    </xf>
    <xf numFmtId="9" fontId="30" fillId="6" borderId="42" xfId="0" applyNumberFormat="1" applyFont="1" applyFill="1" applyBorder="1" applyAlignment="1" applyProtection="1">
      <alignment horizontal="center" vertical="center"/>
      <protection hidden="1"/>
    </xf>
    <xf numFmtId="2" fontId="27" fillId="0" borderId="0" xfId="0" applyNumberFormat="1" applyFont="1" applyAlignment="1" applyProtection="1">
      <alignment horizontal="left" vertical="center"/>
      <protection hidden="1"/>
    </xf>
    <xf numFmtId="0" fontId="30" fillId="0" borderId="0" xfId="0" applyFont="1" applyAlignment="1" applyProtection="1">
      <alignment horizontal="left" vertical="center" wrapText="1"/>
      <protection hidden="1"/>
    </xf>
    <xf numFmtId="0" fontId="29" fillId="2" borderId="0" xfId="0" applyFont="1" applyFill="1" applyBorder="1" applyAlignment="1" applyProtection="1">
      <alignment vertical="justify" wrapText="1" readingOrder="1"/>
      <protection hidden="1"/>
    </xf>
    <xf numFmtId="168" fontId="30" fillId="2" borderId="0" xfId="0" applyNumberFormat="1" applyFont="1" applyFill="1" applyBorder="1" applyAlignment="1" applyProtection="1">
      <alignment horizontal="left" vertical="center" wrapText="1"/>
      <protection hidden="1"/>
    </xf>
    <xf numFmtId="0" fontId="30" fillId="2" borderId="0" xfId="0" applyFont="1" applyFill="1" applyBorder="1" applyAlignment="1" applyProtection="1">
      <alignment vertical="center" wrapText="1"/>
      <protection hidden="1"/>
    </xf>
    <xf numFmtId="190" fontId="30" fillId="2" borderId="0" xfId="0" applyNumberFormat="1" applyFont="1" applyFill="1" applyBorder="1" applyAlignment="1" applyProtection="1">
      <alignment horizontal="left" vertical="center" wrapText="1"/>
      <protection hidden="1"/>
    </xf>
    <xf numFmtId="189" fontId="30" fillId="2" borderId="0" xfId="0" applyNumberFormat="1" applyFont="1" applyFill="1" applyBorder="1" applyAlignment="1" applyProtection="1">
      <alignment horizontal="left" vertical="center" wrapText="1"/>
      <protection hidden="1"/>
    </xf>
    <xf numFmtId="174" fontId="30" fillId="2" borderId="0" xfId="0" applyNumberFormat="1" applyFont="1" applyFill="1" applyBorder="1" applyAlignment="1" applyProtection="1">
      <alignment horizontal="left" vertical="center" wrapText="1"/>
      <protection hidden="1"/>
    </xf>
    <xf numFmtId="188" fontId="30" fillId="2" borderId="0" xfId="0" applyNumberFormat="1" applyFont="1" applyFill="1" applyBorder="1" applyAlignment="1" applyProtection="1">
      <alignment horizontal="left" vertical="center" wrapText="1"/>
      <protection hidden="1"/>
    </xf>
    <xf numFmtId="14" fontId="30" fillId="0" borderId="0" xfId="0" applyNumberFormat="1" applyFont="1" applyAlignment="1" applyProtection="1">
      <alignment horizontal="center" vertical="center" wrapText="1"/>
      <protection hidden="1"/>
    </xf>
    <xf numFmtId="0" fontId="27" fillId="0" borderId="0" xfId="0" applyFont="1" applyBorder="1" applyAlignment="1" applyProtection="1">
      <alignment horizontal="left" vertical="center" wrapText="1"/>
      <protection hidden="1"/>
    </xf>
    <xf numFmtId="0" fontId="30" fillId="0" borderId="0" xfId="0" applyFont="1" applyBorder="1" applyAlignment="1" applyProtection="1">
      <alignment horizontal="center" vertical="center" wrapText="1"/>
      <protection hidden="1"/>
    </xf>
    <xf numFmtId="0" fontId="17" fillId="0" borderId="0" xfId="0" applyFont="1" applyBorder="1" applyAlignment="1" applyProtection="1">
      <alignment horizontal="left" vertical="center" wrapText="1"/>
      <protection hidden="1"/>
    </xf>
    <xf numFmtId="0" fontId="30" fillId="0" borderId="0" xfId="0" applyFont="1" applyBorder="1" applyAlignment="1" applyProtection="1">
      <alignment vertical="center" wrapText="1"/>
      <protection hidden="1"/>
    </xf>
    <xf numFmtId="0" fontId="30" fillId="0" borderId="0" xfId="0" applyFont="1" applyFill="1" applyAlignment="1" applyProtection="1">
      <alignment horizontal="left" vertical="center" wrapText="1"/>
      <protection hidden="1"/>
    </xf>
    <xf numFmtId="2" fontId="27" fillId="0" borderId="35" xfId="0" applyNumberFormat="1" applyFont="1" applyBorder="1" applyAlignment="1" applyProtection="1">
      <alignment horizontal="center" vertical="center" wrapText="1"/>
      <protection hidden="1"/>
    </xf>
    <xf numFmtId="187" fontId="8" fillId="0" borderId="16" xfId="0" applyNumberFormat="1" applyFont="1" applyBorder="1" applyAlignment="1" applyProtection="1">
      <alignment horizontal="center" vertical="center" wrapText="1"/>
      <protection hidden="1"/>
    </xf>
    <xf numFmtId="2" fontId="27" fillId="0" borderId="16" xfId="0" applyNumberFormat="1" applyFont="1" applyBorder="1" applyAlignment="1" applyProtection="1">
      <alignment horizontal="center" vertical="center" wrapText="1"/>
      <protection hidden="1"/>
    </xf>
    <xf numFmtId="2" fontId="27" fillId="0" borderId="33" xfId="0" applyNumberFormat="1" applyFont="1" applyBorder="1" applyAlignment="1" applyProtection="1">
      <alignment horizontal="center" vertical="center" wrapText="1"/>
      <protection hidden="1"/>
    </xf>
    <xf numFmtId="2" fontId="27" fillId="0" borderId="23" xfId="0" applyNumberFormat="1" applyFont="1" applyBorder="1" applyAlignment="1" applyProtection="1">
      <alignment horizontal="center" vertical="center" wrapText="1"/>
      <protection hidden="1"/>
    </xf>
    <xf numFmtId="0" fontId="27" fillId="0" borderId="23" xfId="0" applyFont="1" applyBorder="1" applyAlignment="1" applyProtection="1">
      <alignment horizontal="center" vertical="center" wrapText="1"/>
      <protection hidden="1"/>
    </xf>
    <xf numFmtId="1" fontId="30" fillId="0" borderId="4" xfId="0" applyNumberFormat="1" applyFont="1" applyBorder="1" applyAlignment="1" applyProtection="1">
      <alignment horizontal="center" vertical="center" wrapText="1"/>
      <protection hidden="1"/>
    </xf>
    <xf numFmtId="186" fontId="30" fillId="0" borderId="5" xfId="0" applyNumberFormat="1" applyFont="1" applyBorder="1" applyAlignment="1" applyProtection="1">
      <alignment horizontal="center" vertical="center" wrapText="1"/>
      <protection hidden="1"/>
    </xf>
    <xf numFmtId="171" fontId="30" fillId="0" borderId="39" xfId="0" applyNumberFormat="1" applyFont="1" applyBorder="1" applyAlignment="1" applyProtection="1">
      <alignment horizontal="center" vertical="center" wrapText="1"/>
      <protection hidden="1"/>
    </xf>
    <xf numFmtId="1" fontId="30" fillId="0" borderId="41" xfId="0" applyNumberFormat="1" applyFont="1" applyBorder="1" applyAlignment="1" applyProtection="1">
      <alignment horizontal="center" vertical="center" wrapText="1"/>
      <protection hidden="1"/>
    </xf>
    <xf numFmtId="186" fontId="30" fillId="0" borderId="20" xfId="0" applyNumberFormat="1" applyFont="1" applyBorder="1" applyAlignment="1" applyProtection="1">
      <alignment horizontal="center" vertical="center" wrapText="1"/>
      <protection hidden="1"/>
    </xf>
    <xf numFmtId="171" fontId="30" fillId="0" borderId="42" xfId="0" applyNumberFormat="1" applyFont="1" applyBorder="1" applyAlignment="1" applyProtection="1">
      <alignment horizontal="center" vertical="center" wrapText="1"/>
      <protection hidden="1"/>
    </xf>
    <xf numFmtId="186" fontId="30" fillId="0" borderId="1" xfId="0" applyNumberFormat="1" applyFont="1" applyBorder="1" applyAlignment="1" applyProtection="1">
      <alignment horizontal="center" vertical="center" wrapText="1"/>
      <protection hidden="1"/>
    </xf>
    <xf numFmtId="1" fontId="30" fillId="0" borderId="45" xfId="0" applyNumberFormat="1" applyFont="1" applyBorder="1" applyAlignment="1" applyProtection="1">
      <alignment horizontal="center" vertical="center" wrapText="1"/>
      <protection hidden="1"/>
    </xf>
    <xf numFmtId="171" fontId="30" fillId="0" borderId="46" xfId="0" applyNumberFormat="1" applyFont="1" applyBorder="1" applyAlignment="1" applyProtection="1">
      <alignment horizontal="center" vertical="center" wrapText="1"/>
      <protection hidden="1"/>
    </xf>
    <xf numFmtId="171" fontId="27" fillId="2" borderId="11" xfId="0" applyNumberFormat="1" applyFont="1" applyFill="1" applyBorder="1" applyAlignment="1" applyProtection="1">
      <alignment horizontal="center" vertical="center" wrapText="1"/>
      <protection hidden="1"/>
    </xf>
    <xf numFmtId="171" fontId="30" fillId="0" borderId="0" xfId="0" applyNumberFormat="1" applyFont="1" applyBorder="1" applyAlignment="1" applyProtection="1">
      <alignment horizontal="center" vertical="center" wrapText="1"/>
      <protection hidden="1"/>
    </xf>
    <xf numFmtId="2" fontId="30" fillId="0" borderId="0" xfId="0" applyNumberFormat="1" applyFont="1" applyBorder="1" applyAlignment="1" applyProtection="1">
      <alignment horizontal="center" vertical="center" wrapText="1"/>
      <protection hidden="1"/>
    </xf>
    <xf numFmtId="0" fontId="30" fillId="0" borderId="0" xfId="0" applyFont="1" applyAlignment="1" applyProtection="1">
      <alignment horizontal="left" vertical="justify" wrapText="1"/>
      <protection hidden="1"/>
    </xf>
    <xf numFmtId="2" fontId="17" fillId="0" borderId="35" xfId="0" applyNumberFormat="1" applyFont="1" applyBorder="1" applyAlignment="1" applyProtection="1">
      <alignment horizontal="center" vertical="center" wrapText="1"/>
      <protection hidden="1"/>
    </xf>
    <xf numFmtId="187" fontId="17" fillId="0" borderId="16" xfId="0" applyNumberFormat="1" applyFont="1" applyBorder="1" applyAlignment="1" applyProtection="1">
      <alignment horizontal="center" vertical="center" wrapText="1"/>
      <protection hidden="1"/>
    </xf>
    <xf numFmtId="187" fontId="17" fillId="2" borderId="16" xfId="0" applyNumberFormat="1" applyFont="1" applyFill="1" applyBorder="1" applyAlignment="1" applyProtection="1">
      <alignment horizontal="center" vertical="center" wrapText="1"/>
      <protection hidden="1"/>
    </xf>
    <xf numFmtId="0" fontId="17" fillId="0" borderId="33" xfId="0" applyFont="1" applyBorder="1" applyAlignment="1" applyProtection="1">
      <alignment horizontal="center" vertical="center" wrapText="1"/>
      <protection hidden="1"/>
    </xf>
    <xf numFmtId="186" fontId="30" fillId="0" borderId="39" xfId="0" applyNumberFormat="1" applyFont="1" applyBorder="1" applyAlignment="1" applyProtection="1">
      <alignment horizontal="center" vertical="center" wrapText="1"/>
      <protection hidden="1"/>
    </xf>
    <xf numFmtId="186" fontId="30" fillId="0" borderId="42" xfId="0" applyNumberFormat="1" applyFont="1" applyBorder="1" applyAlignment="1" applyProtection="1">
      <alignment horizontal="center" vertical="center" wrapText="1"/>
      <protection hidden="1"/>
    </xf>
    <xf numFmtId="1" fontId="30" fillId="0" borderId="7" xfId="0" applyNumberFormat="1" applyFont="1" applyBorder="1" applyAlignment="1" applyProtection="1">
      <alignment horizontal="center" vertical="center" wrapText="1"/>
      <protection hidden="1"/>
    </xf>
    <xf numFmtId="186" fontId="30" fillId="0" borderId="8" xfId="0" applyNumberFormat="1" applyFont="1" applyBorder="1" applyAlignment="1" applyProtection="1">
      <alignment horizontal="center" vertical="center" wrapText="1"/>
      <protection hidden="1"/>
    </xf>
    <xf numFmtId="186" fontId="30" fillId="0" borderId="12" xfId="0" applyNumberFormat="1" applyFont="1" applyBorder="1" applyAlignment="1" applyProtection="1">
      <alignment horizontal="center" vertical="center" wrapText="1"/>
      <protection hidden="1"/>
    </xf>
    <xf numFmtId="1" fontId="30" fillId="0" borderId="0" xfId="0" applyNumberFormat="1" applyFont="1" applyBorder="1" applyAlignment="1" applyProtection="1">
      <alignment horizontal="center" vertical="center" wrapText="1"/>
      <protection hidden="1"/>
    </xf>
    <xf numFmtId="0" fontId="27" fillId="2" borderId="35" xfId="0" applyFont="1" applyFill="1" applyBorder="1" applyAlignment="1" applyProtection="1">
      <alignment horizontal="center" vertical="center" wrapText="1"/>
      <protection hidden="1"/>
    </xf>
    <xf numFmtId="2" fontId="8" fillId="0" borderId="0" xfId="0" applyNumberFormat="1" applyFont="1" applyBorder="1" applyAlignment="1" applyProtection="1">
      <alignment vertical="center" wrapText="1"/>
      <protection hidden="1"/>
    </xf>
    <xf numFmtId="169" fontId="27" fillId="2" borderId="9" xfId="0" applyNumberFormat="1" applyFont="1" applyFill="1" applyBorder="1" applyAlignment="1" applyProtection="1">
      <alignment horizontal="center" vertical="center" wrapText="1"/>
      <protection hidden="1"/>
    </xf>
    <xf numFmtId="2" fontId="27" fillId="2" borderId="10" xfId="0" applyNumberFormat="1" applyFont="1" applyFill="1" applyBorder="1" applyAlignment="1" applyProtection="1">
      <alignment horizontal="center" vertical="center" wrapText="1"/>
      <protection hidden="1"/>
    </xf>
    <xf numFmtId="2" fontId="27" fillId="2" borderId="11" xfId="0" applyNumberFormat="1" applyFont="1" applyFill="1" applyBorder="1" applyAlignment="1" applyProtection="1">
      <alignment horizontal="center" vertical="center" wrapText="1"/>
      <protection hidden="1"/>
    </xf>
    <xf numFmtId="2" fontId="27" fillId="0" borderId="0" xfId="0" applyNumberFormat="1" applyFont="1" applyAlignment="1" applyProtection="1">
      <alignment horizontal="center" vertical="center"/>
      <protection hidden="1"/>
    </xf>
    <xf numFmtId="0" fontId="27" fillId="0" borderId="0" xfId="0" applyFont="1" applyBorder="1" applyAlignment="1" applyProtection="1">
      <alignment horizontal="center" vertical="center" wrapText="1"/>
      <protection hidden="1"/>
    </xf>
    <xf numFmtId="0" fontId="36" fillId="0" borderId="0" xfId="0" applyFont="1" applyFill="1" applyAlignment="1">
      <alignment vertical="center" wrapText="1"/>
    </xf>
    <xf numFmtId="1" fontId="30" fillId="0" borderId="0" xfId="0" applyNumberFormat="1" applyFont="1" applyBorder="1" applyAlignment="1" applyProtection="1">
      <alignment horizontal="left" vertical="center" wrapText="1"/>
      <protection hidden="1"/>
    </xf>
    <xf numFmtId="0" fontId="30" fillId="0" borderId="0" xfId="0" applyFont="1" applyAlignment="1" applyProtection="1">
      <alignment vertical="justify" wrapText="1"/>
      <protection hidden="1"/>
    </xf>
    <xf numFmtId="0" fontId="30" fillId="2" borderId="0" xfId="0" applyFont="1" applyFill="1" applyProtection="1">
      <protection hidden="1"/>
    </xf>
    <xf numFmtId="0" fontId="27" fillId="0" borderId="0" xfId="0" applyFont="1" applyAlignment="1" applyProtection="1">
      <protection hidden="1"/>
    </xf>
    <xf numFmtId="0" fontId="30" fillId="0" borderId="0" xfId="0" applyFont="1" applyAlignment="1" applyProtection="1">
      <alignment horizontal="justify" vertical="center" wrapText="1"/>
      <protection locked="0" hidden="1"/>
    </xf>
    <xf numFmtId="0" fontId="53" fillId="2" borderId="36" xfId="0" applyFont="1" applyFill="1" applyBorder="1" applyAlignment="1" applyProtection="1">
      <alignment horizontal="justify" vertical="center" wrapText="1"/>
      <protection hidden="1"/>
    </xf>
    <xf numFmtId="11" fontId="7" fillId="0" borderId="0" xfId="0" applyNumberFormat="1" applyFont="1" applyProtection="1">
      <protection hidden="1"/>
    </xf>
    <xf numFmtId="0" fontId="30" fillId="2" borderId="0" xfId="0" applyFont="1" applyFill="1" applyAlignment="1" applyProtection="1">
      <alignment horizontal="justify" vertical="center" wrapText="1"/>
      <protection hidden="1"/>
    </xf>
    <xf numFmtId="2" fontId="7" fillId="9" borderId="5" xfId="0" applyNumberFormat="1" applyFont="1" applyFill="1" applyBorder="1" applyAlignment="1" applyProtection="1">
      <alignment horizontal="center" vertical="center"/>
      <protection hidden="1"/>
    </xf>
    <xf numFmtId="0" fontId="27" fillId="6" borderId="5" xfId="0" applyFont="1" applyFill="1" applyBorder="1" applyAlignment="1" applyProtection="1">
      <alignment horizontal="center" vertical="center" wrapText="1"/>
      <protection hidden="1"/>
    </xf>
    <xf numFmtId="2" fontId="7" fillId="9" borderId="67" xfId="0" applyNumberFormat="1" applyFont="1" applyFill="1" applyBorder="1" applyAlignment="1" applyProtection="1">
      <alignment horizontal="center" vertical="center"/>
      <protection hidden="1"/>
    </xf>
    <xf numFmtId="1" fontId="13" fillId="9" borderId="7" xfId="0" applyNumberFormat="1" applyFont="1" applyFill="1" applyBorder="1" applyAlignment="1" applyProtection="1">
      <alignment horizontal="center" vertical="center"/>
      <protection hidden="1"/>
    </xf>
    <xf numFmtId="1" fontId="13" fillId="9" borderId="8" xfId="0" applyNumberFormat="1" applyFont="1" applyFill="1" applyBorder="1" applyAlignment="1" applyProtection="1">
      <alignment horizontal="center" vertical="center"/>
      <protection hidden="1"/>
    </xf>
    <xf numFmtId="1" fontId="13" fillId="9" borderId="12" xfId="0" applyNumberFormat="1" applyFont="1" applyFill="1" applyBorder="1" applyAlignment="1" applyProtection="1">
      <alignment horizontal="center" vertical="center"/>
      <protection hidden="1"/>
    </xf>
    <xf numFmtId="9" fontId="8" fillId="9" borderId="35" xfId="1" applyNumberFormat="1" applyFont="1" applyFill="1" applyBorder="1" applyAlignment="1" applyProtection="1">
      <alignment horizontal="center" vertical="center"/>
      <protection hidden="1"/>
    </xf>
    <xf numFmtId="2" fontId="36" fillId="19" borderId="1" xfId="0" applyNumberFormat="1" applyFont="1" applyFill="1" applyBorder="1" applyAlignment="1" applyProtection="1">
      <alignment horizontal="center" vertical="center" wrapText="1"/>
      <protection hidden="1"/>
    </xf>
    <xf numFmtId="2" fontId="18" fillId="19" borderId="1" xfId="0" applyNumberFormat="1" applyFont="1" applyFill="1" applyBorder="1" applyAlignment="1" applyProtection="1">
      <alignment horizontal="center" vertical="center"/>
      <protection hidden="1"/>
    </xf>
    <xf numFmtId="1" fontId="36" fillId="19" borderId="1" xfId="0" applyNumberFormat="1" applyFont="1" applyFill="1" applyBorder="1" applyAlignment="1" applyProtection="1">
      <alignment horizontal="center" vertical="center" wrapText="1"/>
      <protection hidden="1"/>
    </xf>
    <xf numFmtId="2" fontId="18" fillId="19" borderId="8" xfId="0" applyNumberFormat="1" applyFont="1" applyFill="1" applyBorder="1" applyAlignment="1" applyProtection="1">
      <alignment horizontal="center" vertical="center"/>
      <protection hidden="1"/>
    </xf>
    <xf numFmtId="1" fontId="36" fillId="19" borderId="8" xfId="0" applyNumberFormat="1" applyFont="1" applyFill="1" applyBorder="1" applyAlignment="1" applyProtection="1">
      <alignment horizontal="center" vertical="center" wrapText="1"/>
      <protection hidden="1"/>
    </xf>
    <xf numFmtId="2" fontId="36" fillId="19" borderId="8" xfId="0" applyNumberFormat="1" applyFont="1" applyFill="1" applyBorder="1" applyAlignment="1" applyProtection="1">
      <alignment horizontal="center" vertical="center" wrapText="1"/>
      <protection hidden="1"/>
    </xf>
    <xf numFmtId="171" fontId="18" fillId="19" borderId="16" xfId="0" applyNumberFormat="1" applyFont="1" applyFill="1" applyBorder="1" applyAlignment="1" applyProtection="1">
      <alignment horizontal="center" vertical="center"/>
      <protection hidden="1"/>
    </xf>
    <xf numFmtId="2" fontId="18" fillId="19" borderId="35" xfId="0" applyNumberFormat="1" applyFont="1" applyFill="1" applyBorder="1" applyAlignment="1" applyProtection="1">
      <alignment horizontal="center" vertical="center"/>
      <protection hidden="1"/>
    </xf>
    <xf numFmtId="2" fontId="9" fillId="9" borderId="57" xfId="0" applyNumberFormat="1" applyFont="1" applyFill="1" applyBorder="1" applyAlignment="1" applyProtection="1">
      <alignment horizontal="center" vertical="center"/>
      <protection hidden="1"/>
    </xf>
    <xf numFmtId="2" fontId="9" fillId="9" borderId="2" xfId="0" applyNumberFormat="1" applyFont="1" applyFill="1" applyBorder="1" applyAlignment="1" applyProtection="1">
      <alignment horizontal="center" vertical="center"/>
      <protection hidden="1"/>
    </xf>
    <xf numFmtId="0" fontId="24" fillId="6" borderId="33" xfId="0" applyFont="1" applyFill="1" applyBorder="1" applyAlignment="1" applyProtection="1">
      <alignment horizontal="center" vertical="center" wrapText="1"/>
      <protection hidden="1"/>
    </xf>
    <xf numFmtId="2" fontId="7" fillId="0" borderId="0" xfId="0" applyNumberFormat="1" applyFont="1" applyFill="1" applyAlignment="1" applyProtection="1">
      <alignment horizontal="center" vertical="center"/>
      <protection hidden="1"/>
    </xf>
    <xf numFmtId="2" fontId="7" fillId="19" borderId="1" xfId="0" applyNumberFormat="1" applyFont="1" applyFill="1" applyBorder="1" applyAlignment="1" applyProtection="1">
      <alignment horizontal="center" vertical="center"/>
      <protection hidden="1"/>
    </xf>
    <xf numFmtId="2" fontId="18" fillId="19" borderId="51" xfId="0" applyNumberFormat="1" applyFont="1" applyFill="1" applyBorder="1" applyAlignment="1" applyProtection="1">
      <alignment horizontal="center" vertical="center"/>
      <protection hidden="1"/>
    </xf>
    <xf numFmtId="0" fontId="30" fillId="0" borderId="1" xfId="0" applyFont="1" applyFill="1" applyBorder="1" applyAlignment="1" applyProtection="1">
      <alignment horizontal="center" vertical="center"/>
      <protection hidden="1"/>
    </xf>
    <xf numFmtId="0" fontId="30" fillId="15" borderId="32" xfId="0" applyFont="1" applyFill="1" applyBorder="1" applyAlignment="1" applyProtection="1">
      <alignment horizontal="center" vertical="center"/>
      <protection hidden="1"/>
    </xf>
    <xf numFmtId="181" fontId="30" fillId="15" borderId="32" xfId="0" applyNumberFormat="1" applyFont="1" applyFill="1" applyBorder="1" applyAlignment="1" applyProtection="1">
      <alignment horizontal="center" vertical="center"/>
      <protection hidden="1"/>
    </xf>
    <xf numFmtId="169" fontId="30" fillId="15" borderId="32" xfId="0" applyNumberFormat="1" applyFont="1" applyFill="1" applyBorder="1" applyAlignment="1" applyProtection="1">
      <alignment horizontal="center" vertical="center"/>
      <protection hidden="1"/>
    </xf>
    <xf numFmtId="0" fontId="30" fillId="15" borderId="45" xfId="0" applyFont="1" applyFill="1" applyBorder="1" applyAlignment="1" applyProtection="1">
      <alignment horizontal="center" vertical="center" wrapText="1"/>
      <protection hidden="1"/>
    </xf>
    <xf numFmtId="168" fontId="30" fillId="15" borderId="32" xfId="0" applyNumberFormat="1" applyFont="1" applyFill="1" applyBorder="1" applyAlignment="1" applyProtection="1">
      <alignment horizontal="center" vertical="center"/>
      <protection hidden="1"/>
    </xf>
    <xf numFmtId="0" fontId="30" fillId="15" borderId="32" xfId="4" applyFont="1" applyFill="1" applyBorder="1" applyProtection="1">
      <alignment horizontal="center" vertical="center"/>
      <protection hidden="1"/>
    </xf>
    <xf numFmtId="0" fontId="30" fillId="15" borderId="32" xfId="0" applyFont="1" applyFill="1" applyBorder="1" applyProtection="1">
      <protection hidden="1"/>
    </xf>
    <xf numFmtId="171" fontId="30" fillId="15" borderId="32" xfId="0" applyNumberFormat="1" applyFont="1" applyFill="1" applyBorder="1" applyAlignment="1" applyProtection="1">
      <alignment horizontal="center" vertical="center"/>
      <protection hidden="1"/>
    </xf>
    <xf numFmtId="166" fontId="30" fillId="19" borderId="20" xfId="0" applyNumberFormat="1" applyFont="1" applyFill="1" applyBorder="1" applyAlignment="1" applyProtection="1">
      <alignment horizontal="center" vertical="center"/>
      <protection hidden="1"/>
    </xf>
    <xf numFmtId="166" fontId="30" fillId="19" borderId="26" xfId="0" applyNumberFormat="1" applyFont="1" applyFill="1" applyBorder="1" applyAlignment="1" applyProtection="1">
      <alignment horizontal="center" vertical="center"/>
      <protection hidden="1"/>
    </xf>
    <xf numFmtId="166" fontId="30" fillId="19" borderId="5" xfId="0" applyNumberFormat="1" applyFont="1" applyFill="1" applyBorder="1" applyAlignment="1" applyProtection="1">
      <alignment horizontal="center" vertical="center"/>
      <protection hidden="1"/>
    </xf>
    <xf numFmtId="0" fontId="30" fillId="0" borderId="20" xfId="0" applyFont="1" applyFill="1" applyBorder="1" applyAlignment="1" applyProtection="1">
      <alignment horizontal="center" vertical="center"/>
      <protection hidden="1"/>
    </xf>
    <xf numFmtId="164" fontId="30" fillId="19" borderId="5" xfId="0" applyNumberFormat="1" applyFont="1" applyFill="1" applyBorder="1" applyAlignment="1" applyProtection="1">
      <alignment horizontal="center" vertical="center"/>
      <protection hidden="1"/>
    </xf>
    <xf numFmtId="0" fontId="30" fillId="0" borderId="32" xfId="0" applyFont="1" applyFill="1" applyBorder="1" applyAlignment="1" applyProtection="1">
      <alignment horizontal="center" vertical="center"/>
      <protection hidden="1"/>
    </xf>
    <xf numFmtId="168" fontId="30" fillId="0" borderId="1" xfId="0" applyNumberFormat="1" applyFont="1" applyFill="1" applyBorder="1" applyAlignment="1" applyProtection="1">
      <alignment horizontal="center" vertical="center"/>
      <protection hidden="1"/>
    </xf>
    <xf numFmtId="169" fontId="30" fillId="0" borderId="1" xfId="0" applyNumberFormat="1" applyFont="1" applyFill="1" applyBorder="1" applyAlignment="1" applyProtection="1">
      <alignment horizontal="center" vertical="center"/>
      <protection hidden="1"/>
    </xf>
    <xf numFmtId="168" fontId="30" fillId="0" borderId="20" xfId="0" applyNumberFormat="1" applyFont="1" applyFill="1" applyBorder="1" applyAlignment="1" applyProtection="1">
      <alignment horizontal="center" vertical="center"/>
      <protection hidden="1"/>
    </xf>
    <xf numFmtId="181" fontId="30" fillId="0" borderId="32" xfId="0" applyNumberFormat="1" applyFont="1" applyFill="1" applyBorder="1" applyAlignment="1" applyProtection="1">
      <alignment horizontal="center" vertical="center"/>
      <protection hidden="1"/>
    </xf>
    <xf numFmtId="0" fontId="30" fillId="0" borderId="32" xfId="0" applyFont="1" applyFill="1" applyBorder="1" applyAlignment="1" applyProtection="1">
      <alignment horizontal="center"/>
      <protection hidden="1"/>
    </xf>
    <xf numFmtId="169" fontId="30" fillId="0" borderId="32" xfId="0" applyNumberFormat="1" applyFont="1" applyFill="1" applyBorder="1" applyAlignment="1" applyProtection="1">
      <alignment horizontal="center" vertical="center"/>
      <protection hidden="1"/>
    </xf>
    <xf numFmtId="166" fontId="30" fillId="19" borderId="1" xfId="0" applyNumberFormat="1" applyFont="1" applyFill="1" applyBorder="1" applyAlignment="1" applyProtection="1">
      <alignment horizontal="center" vertical="center"/>
      <protection hidden="1"/>
    </xf>
    <xf numFmtId="164" fontId="30" fillId="19" borderId="1" xfId="0" applyNumberFormat="1" applyFont="1" applyFill="1" applyBorder="1" applyAlignment="1" applyProtection="1">
      <alignment horizontal="center" vertical="center"/>
      <protection hidden="1"/>
    </xf>
    <xf numFmtId="166" fontId="30" fillId="0" borderId="1" xfId="0" applyNumberFormat="1" applyFont="1" applyFill="1" applyBorder="1" applyAlignment="1" applyProtection="1">
      <alignment horizontal="center" vertical="center"/>
      <protection hidden="1"/>
    </xf>
    <xf numFmtId="166" fontId="30" fillId="19" borderId="8" xfId="0" applyNumberFormat="1" applyFont="1" applyFill="1" applyBorder="1" applyAlignment="1" applyProtection="1">
      <alignment horizontal="center" vertical="center"/>
      <protection hidden="1"/>
    </xf>
    <xf numFmtId="180" fontId="30" fillId="15" borderId="8" xfId="0" applyNumberFormat="1" applyFont="1" applyFill="1" applyBorder="1" applyAlignment="1" applyProtection="1">
      <alignment horizontal="center" vertical="center"/>
      <protection hidden="1"/>
    </xf>
    <xf numFmtId="166" fontId="30" fillId="0" borderId="32" xfId="0" applyNumberFormat="1" applyFont="1" applyFill="1" applyBorder="1" applyAlignment="1" applyProtection="1">
      <alignment horizontal="center" vertical="center"/>
      <protection hidden="1"/>
    </xf>
    <xf numFmtId="0" fontId="30" fillId="19" borderId="32" xfId="0" applyFont="1" applyFill="1" applyBorder="1" applyAlignment="1" applyProtection="1">
      <alignment horizontal="center" vertical="center"/>
      <protection hidden="1"/>
    </xf>
    <xf numFmtId="181" fontId="30" fillId="23" borderId="5" xfId="0" applyNumberFormat="1" applyFont="1" applyFill="1" applyBorder="1" applyAlignment="1" applyProtection="1">
      <alignment horizontal="center" vertical="center"/>
      <protection hidden="1"/>
    </xf>
    <xf numFmtId="0" fontId="30" fillId="23" borderId="4" xfId="0" applyFont="1" applyFill="1" applyBorder="1" applyAlignment="1" applyProtection="1">
      <alignment horizontal="center" vertical="center" wrapText="1"/>
      <protection hidden="1"/>
    </xf>
    <xf numFmtId="0" fontId="30" fillId="23" borderId="5" xfId="0" applyFont="1" applyFill="1" applyBorder="1" applyAlignment="1" applyProtection="1">
      <alignment horizontal="center" vertical="center"/>
      <protection hidden="1"/>
    </xf>
    <xf numFmtId="168" fontId="30" fillId="23" borderId="5" xfId="0" applyNumberFormat="1" applyFont="1" applyFill="1" applyBorder="1" applyAlignment="1" applyProtection="1">
      <alignment horizontal="center" vertical="center"/>
      <protection hidden="1"/>
    </xf>
    <xf numFmtId="0" fontId="30" fillId="23" borderId="5" xfId="4" applyFont="1" applyFill="1" applyBorder="1" applyProtection="1">
      <alignment horizontal="center" vertical="center"/>
      <protection hidden="1"/>
    </xf>
    <xf numFmtId="164" fontId="30" fillId="23" borderId="5" xfId="0" applyNumberFormat="1" applyFont="1" applyFill="1" applyBorder="1" applyAlignment="1" applyProtection="1">
      <alignment horizontal="center" vertical="center"/>
      <protection hidden="1"/>
    </xf>
    <xf numFmtId="169" fontId="30" fillId="23" borderId="5" xfId="0" applyNumberFormat="1" applyFont="1" applyFill="1" applyBorder="1" applyAlignment="1" applyProtection="1">
      <alignment horizontal="center" vertical="center"/>
      <protection hidden="1"/>
    </xf>
    <xf numFmtId="0" fontId="30" fillId="23" borderId="39" xfId="0" applyFont="1" applyFill="1" applyBorder="1" applyAlignment="1" applyProtection="1">
      <alignment horizontal="center" vertical="center"/>
      <protection hidden="1"/>
    </xf>
    <xf numFmtId="2" fontId="13" fillId="6" borderId="61" xfId="0" applyNumberFormat="1" applyFont="1" applyFill="1" applyBorder="1" applyAlignment="1" applyProtection="1">
      <alignment vertical="center" wrapText="1"/>
      <protection hidden="1"/>
    </xf>
    <xf numFmtId="2" fontId="13" fillId="6" borderId="72" xfId="0" applyNumberFormat="1" applyFont="1" applyFill="1" applyBorder="1" applyAlignment="1" applyProtection="1">
      <alignment vertical="center" wrapText="1"/>
      <protection hidden="1"/>
    </xf>
    <xf numFmtId="2" fontId="13" fillId="6" borderId="27" xfId="0" applyNumberFormat="1" applyFont="1" applyFill="1" applyBorder="1" applyAlignment="1" applyProtection="1">
      <alignment vertical="center" wrapText="1"/>
      <protection hidden="1"/>
    </xf>
    <xf numFmtId="2" fontId="13" fillId="6" borderId="65" xfId="0" applyNumberFormat="1" applyFont="1" applyFill="1" applyBorder="1" applyAlignment="1" applyProtection="1">
      <alignment vertical="center" wrapText="1"/>
      <protection hidden="1"/>
    </xf>
    <xf numFmtId="2" fontId="13" fillId="6" borderId="76" xfId="0" applyNumberFormat="1" applyFont="1" applyFill="1" applyBorder="1" applyAlignment="1" applyProtection="1">
      <alignment vertical="center" wrapText="1"/>
      <protection hidden="1"/>
    </xf>
    <xf numFmtId="2" fontId="13" fillId="6" borderId="77" xfId="0" applyNumberFormat="1" applyFont="1" applyFill="1" applyBorder="1" applyAlignment="1" applyProtection="1">
      <alignment vertical="center" wrapText="1"/>
      <protection hidden="1"/>
    </xf>
    <xf numFmtId="167" fontId="9" fillId="19" borderId="7" xfId="0" applyNumberFormat="1" applyFont="1" applyFill="1" applyBorder="1" applyAlignment="1" applyProtection="1">
      <alignment horizontal="center" vertical="center"/>
      <protection hidden="1"/>
    </xf>
    <xf numFmtId="167" fontId="9" fillId="19" borderId="8" xfId="0" applyNumberFormat="1" applyFont="1" applyFill="1" applyBorder="1" applyAlignment="1" applyProtection="1">
      <alignment horizontal="center" vertical="center"/>
      <protection hidden="1"/>
    </xf>
    <xf numFmtId="2" fontId="7" fillId="19" borderId="8" xfId="0" applyNumberFormat="1" applyFont="1" applyFill="1" applyBorder="1" applyAlignment="1" applyProtection="1">
      <alignment horizontal="center" vertical="center"/>
      <protection hidden="1"/>
    </xf>
    <xf numFmtId="171" fontId="7" fillId="0" borderId="0" xfId="0" applyNumberFormat="1" applyFont="1" applyProtection="1">
      <protection hidden="1"/>
    </xf>
    <xf numFmtId="11" fontId="7" fillId="19" borderId="1" xfId="0" applyNumberFormat="1" applyFont="1" applyFill="1" applyBorder="1" applyAlignment="1" applyProtection="1">
      <alignment horizontal="center" vertical="center"/>
      <protection hidden="1"/>
    </xf>
    <xf numFmtId="2" fontId="18" fillId="6" borderId="43" xfId="0" applyNumberFormat="1" applyFont="1" applyFill="1" applyBorder="1" applyAlignment="1" applyProtection="1">
      <alignment horizontal="center" vertical="center" wrapText="1"/>
      <protection hidden="1"/>
    </xf>
    <xf numFmtId="2" fontId="24" fillId="6" borderId="20" xfId="0" applyNumberFormat="1" applyFont="1" applyFill="1" applyBorder="1" applyAlignment="1" applyProtection="1">
      <alignment horizontal="center" vertical="center" wrapText="1"/>
      <protection hidden="1"/>
    </xf>
    <xf numFmtId="2" fontId="7" fillId="9" borderId="42" xfId="0" applyNumberFormat="1" applyFont="1" applyFill="1" applyBorder="1" applyAlignment="1" applyProtection="1">
      <alignment horizontal="center" vertical="center"/>
      <protection hidden="1"/>
    </xf>
    <xf numFmtId="2" fontId="7" fillId="9" borderId="12" xfId="0" applyNumberFormat="1" applyFont="1" applyFill="1" applyBorder="1" applyAlignment="1" applyProtection="1">
      <alignment horizontal="center" vertical="center"/>
      <protection hidden="1"/>
    </xf>
    <xf numFmtId="2" fontId="7" fillId="19" borderId="1" xfId="0" applyNumberFormat="1" applyFont="1" applyFill="1" applyBorder="1" applyAlignment="1" applyProtection="1">
      <alignment horizontal="center" vertical="center" wrapText="1"/>
      <protection hidden="1"/>
    </xf>
    <xf numFmtId="11" fontId="7" fillId="19" borderId="1" xfId="0" applyNumberFormat="1" applyFont="1" applyFill="1" applyBorder="1" applyAlignment="1" applyProtection="1">
      <alignment horizontal="center" vertical="center" wrapText="1"/>
      <protection hidden="1"/>
    </xf>
    <xf numFmtId="2" fontId="7" fillId="19" borderId="41" xfId="0" applyNumberFormat="1" applyFont="1" applyFill="1" applyBorder="1" applyAlignment="1" applyProtection="1">
      <alignment horizontal="center" vertical="center"/>
      <protection hidden="1"/>
    </xf>
    <xf numFmtId="2" fontId="20" fillId="3" borderId="69" xfId="0" applyNumberFormat="1" applyFont="1" applyFill="1" applyBorder="1" applyAlignment="1" applyProtection="1">
      <alignment horizontal="center" vertical="top"/>
      <protection hidden="1"/>
    </xf>
    <xf numFmtId="2" fontId="18" fillId="6" borderId="70" xfId="0" applyNumberFormat="1" applyFont="1" applyFill="1" applyBorder="1" applyAlignment="1" applyProtection="1">
      <alignment horizontal="center" vertical="center"/>
      <protection hidden="1"/>
    </xf>
    <xf numFmtId="2" fontId="18" fillId="6" borderId="70" xfId="0" applyNumberFormat="1" applyFont="1" applyFill="1" applyBorder="1" applyAlignment="1" applyProtection="1">
      <alignment horizontal="left" vertical="center"/>
      <protection hidden="1"/>
    </xf>
    <xf numFmtId="2" fontId="18" fillId="6" borderId="70" xfId="0" applyNumberFormat="1" applyFont="1" applyFill="1" applyBorder="1" applyAlignment="1" applyProtection="1">
      <alignment vertical="center"/>
      <protection hidden="1"/>
    </xf>
    <xf numFmtId="2" fontId="7" fillId="6" borderId="70" xfId="0" applyNumberFormat="1" applyFont="1" applyFill="1" applyBorder="1" applyAlignment="1" applyProtection="1">
      <alignment horizontal="center" vertical="center"/>
      <protection hidden="1"/>
    </xf>
    <xf numFmtId="172" fontId="7" fillId="6" borderId="71" xfId="0" applyNumberFormat="1" applyFont="1" applyFill="1" applyBorder="1" applyProtection="1">
      <protection hidden="1"/>
    </xf>
    <xf numFmtId="173" fontId="7" fillId="9" borderId="65" xfId="0" applyNumberFormat="1" applyFont="1" applyFill="1" applyBorder="1" applyAlignment="1" applyProtection="1">
      <alignment horizontal="center" vertical="center" wrapText="1"/>
      <protection hidden="1"/>
    </xf>
    <xf numFmtId="173" fontId="7" fillId="9" borderId="66" xfId="0" applyNumberFormat="1" applyFont="1" applyFill="1" applyBorder="1" applyAlignment="1" applyProtection="1">
      <alignment horizontal="center" vertical="center"/>
      <protection hidden="1"/>
    </xf>
    <xf numFmtId="11" fontId="7" fillId="9" borderId="66" xfId="0" applyNumberFormat="1" applyFont="1" applyFill="1" applyBorder="1" applyAlignment="1" applyProtection="1">
      <alignment horizontal="center" vertical="center"/>
      <protection hidden="1"/>
    </xf>
    <xf numFmtId="173" fontId="7" fillId="9" borderId="67" xfId="0" applyNumberFormat="1" applyFont="1" applyFill="1" applyBorder="1" applyAlignment="1" applyProtection="1">
      <alignment horizontal="center" vertical="center"/>
      <protection hidden="1"/>
    </xf>
    <xf numFmtId="2" fontId="18" fillId="19" borderId="26" xfId="0" applyNumberFormat="1" applyFont="1" applyFill="1" applyBorder="1" applyAlignment="1" applyProtection="1">
      <alignment vertical="center"/>
      <protection hidden="1"/>
    </xf>
    <xf numFmtId="2" fontId="7" fillId="19" borderId="26" xfId="0" applyNumberFormat="1" applyFont="1" applyFill="1" applyBorder="1" applyProtection="1">
      <protection hidden="1"/>
    </xf>
    <xf numFmtId="2" fontId="7" fillId="19" borderId="4" xfId="0" applyNumberFormat="1" applyFont="1" applyFill="1" applyBorder="1" applyAlignment="1" applyProtection="1">
      <alignment horizontal="center" vertical="center"/>
      <protection hidden="1"/>
    </xf>
    <xf numFmtId="2" fontId="7" fillId="19" borderId="5" xfId="0" applyNumberFormat="1" applyFont="1" applyFill="1" applyBorder="1" applyAlignment="1" applyProtection="1">
      <alignment horizontal="center" vertical="center"/>
      <protection hidden="1"/>
    </xf>
    <xf numFmtId="11" fontId="7" fillId="19" borderId="5" xfId="0" applyNumberFormat="1" applyFont="1" applyFill="1" applyBorder="1" applyAlignment="1" applyProtection="1">
      <alignment horizontal="center" vertical="center"/>
      <protection hidden="1"/>
    </xf>
    <xf numFmtId="2" fontId="7" fillId="19" borderId="5" xfId="0" applyNumberFormat="1" applyFont="1" applyFill="1" applyBorder="1" applyAlignment="1" applyProtection="1">
      <alignment horizontal="center" vertical="center" wrapText="1"/>
      <protection hidden="1"/>
    </xf>
    <xf numFmtId="11" fontId="7" fillId="19" borderId="5" xfId="0" applyNumberFormat="1" applyFont="1" applyFill="1" applyBorder="1" applyAlignment="1" applyProtection="1">
      <alignment horizontal="center" vertical="center" wrapText="1"/>
      <protection hidden="1"/>
    </xf>
    <xf numFmtId="164" fontId="7" fillId="19" borderId="7" xfId="0" applyNumberFormat="1" applyFont="1" applyFill="1" applyBorder="1" applyAlignment="1" applyProtection="1">
      <alignment horizontal="center" vertical="center"/>
      <protection hidden="1"/>
    </xf>
    <xf numFmtId="11" fontId="7" fillId="19" borderId="8" xfId="0" applyNumberFormat="1" applyFont="1" applyFill="1" applyBorder="1" applyAlignment="1" applyProtection="1">
      <alignment horizontal="center" vertical="center"/>
      <protection hidden="1"/>
    </xf>
    <xf numFmtId="2" fontId="7" fillId="19" borderId="8" xfId="0" applyNumberFormat="1" applyFont="1" applyFill="1" applyBorder="1" applyAlignment="1" applyProtection="1">
      <alignment horizontal="center" vertical="center" wrapText="1"/>
      <protection hidden="1"/>
    </xf>
    <xf numFmtId="11" fontId="7" fillId="19" borderId="8" xfId="0" applyNumberFormat="1" applyFont="1" applyFill="1" applyBorder="1" applyAlignment="1" applyProtection="1">
      <alignment horizontal="center" vertical="center" wrapText="1"/>
      <protection hidden="1"/>
    </xf>
    <xf numFmtId="2" fontId="8" fillId="6" borderId="22" xfId="2" applyNumberFormat="1" applyFont="1" applyFill="1" applyBorder="1" applyAlignment="1" applyProtection="1">
      <alignment horizontal="center" vertical="center"/>
      <protection hidden="1"/>
    </xf>
    <xf numFmtId="2" fontId="8" fillId="6" borderId="23" xfId="2" applyNumberFormat="1" applyFont="1" applyFill="1" applyBorder="1" applyAlignment="1" applyProtection="1">
      <alignment horizontal="center" vertical="center"/>
      <protection hidden="1"/>
    </xf>
    <xf numFmtId="173" fontId="13" fillId="9" borderId="31" xfId="0" applyNumberFormat="1" applyFont="1" applyFill="1" applyBorder="1" applyAlignment="1" applyProtection="1">
      <alignment horizontal="center" vertical="center"/>
      <protection hidden="1"/>
    </xf>
    <xf numFmtId="0" fontId="3" fillId="6" borderId="33" xfId="2" applyFont="1" applyFill="1" applyBorder="1" applyAlignment="1" applyProtection="1">
      <alignment horizontal="center" vertical="center"/>
      <protection hidden="1"/>
    </xf>
    <xf numFmtId="0" fontId="3" fillId="6" borderId="35" xfId="2" applyFont="1" applyFill="1" applyBorder="1" applyAlignment="1" applyProtection="1">
      <alignment horizontal="center" vertical="center"/>
      <protection hidden="1"/>
    </xf>
    <xf numFmtId="2" fontId="8" fillId="6" borderId="33" xfId="2" applyNumberFormat="1" applyFont="1" applyFill="1" applyBorder="1" applyAlignment="1" applyProtection="1">
      <alignment horizontal="center" vertical="center"/>
      <protection hidden="1"/>
    </xf>
    <xf numFmtId="2" fontId="8" fillId="6" borderId="35" xfId="2" applyNumberFormat="1" applyFont="1" applyFill="1" applyBorder="1" applyAlignment="1" applyProtection="1">
      <alignment horizontal="center" vertical="center"/>
      <protection hidden="1"/>
    </xf>
    <xf numFmtId="11" fontId="13" fillId="9" borderId="15" xfId="0" applyNumberFormat="1" applyFont="1" applyFill="1" applyBorder="1" applyAlignment="1" applyProtection="1">
      <alignment horizontal="center" vertical="center"/>
      <protection hidden="1"/>
    </xf>
    <xf numFmtId="1" fontId="9" fillId="9" borderId="66" xfId="0" applyNumberFormat="1" applyFont="1" applyFill="1" applyBorder="1" applyAlignment="1" applyProtection="1">
      <alignment horizontal="center" vertical="center"/>
      <protection hidden="1"/>
    </xf>
    <xf numFmtId="1" fontId="39" fillId="9" borderId="66" xfId="0" applyNumberFormat="1" applyFont="1" applyFill="1" applyBorder="1" applyAlignment="1" applyProtection="1">
      <alignment horizontal="center" vertical="center"/>
      <protection hidden="1"/>
    </xf>
    <xf numFmtId="1" fontId="7" fillId="9" borderId="65" xfId="0" applyNumberFormat="1" applyFont="1" applyFill="1" applyBorder="1" applyAlignment="1" applyProtection="1">
      <alignment horizontal="center" vertical="center"/>
      <protection hidden="1"/>
    </xf>
    <xf numFmtId="1" fontId="7" fillId="9" borderId="66" xfId="0" applyNumberFormat="1" applyFont="1" applyFill="1" applyBorder="1" applyAlignment="1" applyProtection="1">
      <alignment horizontal="center" vertical="center"/>
      <protection hidden="1"/>
    </xf>
    <xf numFmtId="172" fontId="26" fillId="8" borderId="70" xfId="0" applyNumberFormat="1" applyFont="1" applyFill="1" applyBorder="1" applyAlignment="1" applyProtection="1">
      <alignment horizontal="center" vertical="center"/>
      <protection hidden="1"/>
    </xf>
    <xf numFmtId="2" fontId="55" fillId="8" borderId="70" xfId="0" applyNumberFormat="1" applyFont="1" applyFill="1" applyBorder="1" applyAlignment="1" applyProtection="1">
      <alignment horizontal="center" vertical="center"/>
      <protection hidden="1"/>
    </xf>
    <xf numFmtId="2" fontId="55" fillId="3" borderId="71" xfId="0" applyNumberFormat="1" applyFont="1" applyFill="1" applyBorder="1" applyAlignment="1" applyProtection="1">
      <alignment horizontal="center" vertical="center"/>
      <protection hidden="1"/>
    </xf>
    <xf numFmtId="2" fontId="8" fillId="9" borderId="44" xfId="0" applyNumberFormat="1" applyFont="1" applyFill="1" applyBorder="1" applyAlignment="1" applyProtection="1">
      <alignment horizontal="center" vertical="center"/>
      <protection hidden="1"/>
    </xf>
    <xf numFmtId="11" fontId="7" fillId="9" borderId="45" xfId="0" applyNumberFormat="1" applyFont="1" applyFill="1" applyBorder="1" applyAlignment="1" applyProtection="1">
      <alignment horizontal="center" vertical="center" wrapText="1"/>
      <protection hidden="1"/>
    </xf>
    <xf numFmtId="2" fontId="7" fillId="10" borderId="27" xfId="0" applyNumberFormat="1" applyFont="1" applyFill="1" applyBorder="1" applyAlignment="1" applyProtection="1">
      <alignment horizontal="center" vertical="center"/>
      <protection hidden="1"/>
    </xf>
    <xf numFmtId="2" fontId="26" fillId="8" borderId="69" xfId="0" applyNumberFormat="1" applyFont="1" applyFill="1" applyBorder="1" applyAlignment="1" applyProtection="1">
      <alignment horizontal="center" vertical="center"/>
      <protection hidden="1"/>
    </xf>
    <xf numFmtId="2" fontId="26" fillId="8" borderId="70" xfId="0" applyNumberFormat="1" applyFont="1" applyFill="1" applyBorder="1" applyAlignment="1" applyProtection="1">
      <alignment horizontal="center" vertical="center"/>
      <protection hidden="1"/>
    </xf>
    <xf numFmtId="2" fontId="55" fillId="3" borderId="70" xfId="0" applyNumberFormat="1" applyFont="1" applyFill="1" applyBorder="1" applyAlignment="1" applyProtection="1">
      <alignment horizontal="center" vertical="center" wrapText="1"/>
      <protection hidden="1"/>
    </xf>
    <xf numFmtId="0" fontId="42" fillId="19" borderId="0" xfId="0" applyFont="1" applyFill="1" applyAlignment="1" applyProtection="1">
      <alignment horizontal="left" vertical="center"/>
      <protection hidden="1"/>
    </xf>
    <xf numFmtId="1" fontId="7" fillId="9" borderId="57" xfId="0" applyNumberFormat="1" applyFont="1" applyFill="1" applyBorder="1" applyAlignment="1" applyProtection="1">
      <alignment horizontal="center" vertical="center"/>
      <protection hidden="1"/>
    </xf>
    <xf numFmtId="1" fontId="7" fillId="9" borderId="2" xfId="0" applyNumberFormat="1" applyFont="1" applyFill="1" applyBorder="1" applyAlignment="1" applyProtection="1">
      <alignment horizontal="center" vertical="center"/>
      <protection hidden="1"/>
    </xf>
    <xf numFmtId="2" fontId="13" fillId="9" borderId="37" xfId="0" applyNumberFormat="1" applyFont="1" applyFill="1" applyBorder="1" applyAlignment="1" applyProtection="1">
      <alignment horizontal="center" vertical="center"/>
      <protection hidden="1"/>
    </xf>
    <xf numFmtId="171" fontId="36" fillId="19" borderId="4" xfId="0" applyNumberFormat="1" applyFont="1" applyFill="1" applyBorder="1" applyAlignment="1" applyProtection="1">
      <alignment horizontal="center" vertical="center" wrapText="1"/>
      <protection hidden="1"/>
    </xf>
    <xf numFmtId="1" fontId="36" fillId="19" borderId="5" xfId="0" applyNumberFormat="1" applyFont="1" applyFill="1" applyBorder="1" applyAlignment="1" applyProtection="1">
      <alignment horizontal="center" vertical="center" wrapText="1"/>
      <protection hidden="1"/>
    </xf>
    <xf numFmtId="169" fontId="18" fillId="19" borderId="5" xfId="0" applyNumberFormat="1" applyFont="1" applyFill="1" applyBorder="1" applyAlignment="1" applyProtection="1">
      <alignment horizontal="center" vertical="center"/>
      <protection hidden="1"/>
    </xf>
    <xf numFmtId="169" fontId="18" fillId="19" borderId="1" xfId="0" applyNumberFormat="1" applyFont="1" applyFill="1" applyBorder="1" applyAlignment="1" applyProtection="1">
      <alignment horizontal="center" vertical="center"/>
      <protection hidden="1"/>
    </xf>
    <xf numFmtId="169" fontId="18" fillId="19" borderId="8" xfId="0" applyNumberFormat="1" applyFont="1" applyFill="1" applyBorder="1" applyAlignment="1" applyProtection="1">
      <alignment horizontal="center" vertical="center"/>
      <protection hidden="1"/>
    </xf>
    <xf numFmtId="0" fontId="30" fillId="24" borderId="0" xfId="0" applyFont="1" applyFill="1" applyProtection="1">
      <protection hidden="1"/>
    </xf>
    <xf numFmtId="0" fontId="30" fillId="0" borderId="0" xfId="0" applyFont="1" applyFill="1" applyAlignment="1" applyProtection="1">
      <alignment vertical="justify" wrapText="1"/>
      <protection hidden="1"/>
    </xf>
    <xf numFmtId="0" fontId="27" fillId="0" borderId="0" xfId="0" applyFont="1" applyFill="1" applyAlignment="1" applyProtection="1">
      <alignment horizontal="left" vertical="center" wrapText="1"/>
      <protection hidden="1"/>
    </xf>
    <xf numFmtId="171" fontId="7" fillId="9" borderId="6" xfId="0" applyNumberFormat="1" applyFont="1" applyFill="1" applyBorder="1" applyAlignment="1" applyProtection="1">
      <alignment horizontal="center" vertical="center"/>
      <protection hidden="1"/>
    </xf>
    <xf numFmtId="2" fontId="18" fillId="19" borderId="54" xfId="0" applyNumberFormat="1" applyFont="1" applyFill="1" applyBorder="1" applyAlignment="1" applyProtection="1">
      <alignment horizontal="center" vertical="center" wrapText="1"/>
      <protection hidden="1"/>
    </xf>
    <xf numFmtId="2" fontId="7" fillId="19" borderId="30" xfId="0" applyNumberFormat="1" applyFont="1" applyFill="1" applyBorder="1" applyAlignment="1" applyProtection="1">
      <alignment horizontal="centerContinuous"/>
      <protection hidden="1"/>
    </xf>
    <xf numFmtId="173" fontId="7" fillId="19" borderId="5" xfId="0" applyNumberFormat="1" applyFont="1" applyFill="1" applyBorder="1" applyAlignment="1" applyProtection="1">
      <alignment horizontal="center" vertical="center" wrapText="1"/>
      <protection hidden="1"/>
    </xf>
    <xf numFmtId="169" fontId="7" fillId="19" borderId="5" xfId="0" applyNumberFormat="1" applyFont="1" applyFill="1" applyBorder="1" applyAlignment="1" applyProtection="1">
      <alignment horizontal="center" vertical="center"/>
      <protection hidden="1"/>
    </xf>
    <xf numFmtId="169" fontId="7" fillId="19" borderId="5" xfId="1" applyNumberFormat="1" applyFont="1" applyFill="1" applyBorder="1" applyAlignment="1" applyProtection="1">
      <alignment horizontal="center" vertical="center" wrapText="1"/>
      <protection hidden="1"/>
    </xf>
    <xf numFmtId="173" fontId="7" fillId="19" borderId="1" xfId="0" applyNumberFormat="1" applyFont="1" applyFill="1" applyBorder="1" applyAlignment="1" applyProtection="1">
      <alignment horizontal="center" vertical="center" wrapText="1"/>
      <protection hidden="1"/>
    </xf>
    <xf numFmtId="169" fontId="7" fillId="19" borderId="1" xfId="0" applyNumberFormat="1" applyFont="1" applyFill="1" applyBorder="1" applyAlignment="1" applyProtection="1">
      <alignment horizontal="center" vertical="center"/>
      <protection hidden="1"/>
    </xf>
    <xf numFmtId="169" fontId="7" fillId="19" borderId="1" xfId="1" applyNumberFormat="1" applyFont="1" applyFill="1" applyBorder="1" applyAlignment="1" applyProtection="1">
      <alignment horizontal="center" vertical="center" wrapText="1"/>
      <protection hidden="1"/>
    </xf>
    <xf numFmtId="173" fontId="7" fillId="19" borderId="8" xfId="0" applyNumberFormat="1" applyFont="1" applyFill="1" applyBorder="1" applyAlignment="1" applyProtection="1">
      <alignment horizontal="center" vertical="center" wrapText="1"/>
      <protection hidden="1"/>
    </xf>
    <xf numFmtId="169" fontId="7" fillId="19" borderId="8" xfId="0" applyNumberFormat="1" applyFont="1" applyFill="1" applyBorder="1" applyAlignment="1" applyProtection="1">
      <alignment horizontal="center" vertical="center"/>
      <protection hidden="1"/>
    </xf>
    <xf numFmtId="169" fontId="7" fillId="19" borderId="8" xfId="1" applyNumberFormat="1" applyFont="1" applyFill="1" applyBorder="1" applyAlignment="1" applyProtection="1">
      <alignment horizontal="center" vertical="center" wrapText="1"/>
      <protection hidden="1"/>
    </xf>
    <xf numFmtId="2" fontId="46" fillId="19" borderId="9" xfId="0" applyNumberFormat="1" applyFont="1" applyFill="1" applyBorder="1" applyAlignment="1" applyProtection="1">
      <alignment horizontal="center" vertical="center"/>
      <protection hidden="1"/>
    </xf>
    <xf numFmtId="173" fontId="13" fillId="19" borderId="10" xfId="0" applyNumberFormat="1" applyFont="1" applyFill="1" applyBorder="1" applyAlignment="1" applyProtection="1">
      <alignment horizontal="center" vertical="center"/>
      <protection hidden="1"/>
    </xf>
    <xf numFmtId="173" fontId="13" fillId="19" borderId="11" xfId="0" applyNumberFormat="1" applyFont="1" applyFill="1" applyBorder="1" applyAlignment="1" applyProtection="1">
      <alignment horizontal="center" vertical="center"/>
      <protection hidden="1"/>
    </xf>
    <xf numFmtId="1" fontId="30" fillId="24" borderId="0" xfId="0" applyNumberFormat="1" applyFont="1" applyFill="1" applyBorder="1" applyAlignment="1" applyProtection="1">
      <alignment horizontal="left" vertical="center" wrapText="1"/>
      <protection hidden="1"/>
    </xf>
    <xf numFmtId="2" fontId="13" fillId="19" borderId="35" xfId="0" applyNumberFormat="1" applyFont="1" applyFill="1" applyBorder="1" applyAlignment="1" applyProtection="1">
      <alignment horizontal="center" vertical="center" wrapText="1"/>
      <protection hidden="1"/>
    </xf>
    <xf numFmtId="2" fontId="9" fillId="9" borderId="46" xfId="0" applyNumberFormat="1" applyFont="1" applyFill="1" applyBorder="1" applyAlignment="1" applyProtection="1">
      <alignment horizontal="center" vertical="center"/>
      <protection hidden="1"/>
    </xf>
    <xf numFmtId="167" fontId="7" fillId="2" borderId="0" xfId="0" applyNumberFormat="1" applyFont="1" applyFill="1" applyBorder="1" applyProtection="1">
      <protection hidden="1"/>
    </xf>
    <xf numFmtId="2" fontId="18" fillId="19" borderId="35" xfId="0" applyNumberFormat="1" applyFont="1" applyFill="1" applyBorder="1" applyAlignment="1" applyProtection="1">
      <alignment horizontal="center" vertical="center" wrapText="1"/>
      <protection hidden="1"/>
    </xf>
    <xf numFmtId="0" fontId="0" fillId="0" borderId="0" xfId="0" applyAlignment="1">
      <alignment horizontal="center"/>
    </xf>
    <xf numFmtId="2" fontId="0" fillId="0" borderId="1" xfId="0" applyNumberFormat="1" applyBorder="1" applyAlignment="1">
      <alignment horizontal="center"/>
    </xf>
    <xf numFmtId="169" fontId="0" fillId="0" borderId="1" xfId="0" applyNumberFormat="1" applyBorder="1" applyAlignment="1">
      <alignment horizontal="center"/>
    </xf>
    <xf numFmtId="0" fontId="0" fillId="0" borderId="9" xfId="0" applyBorder="1" applyAlignment="1">
      <alignment horizontal="center" vertical="center"/>
    </xf>
    <xf numFmtId="0" fontId="0" fillId="0" borderId="41" xfId="0" applyBorder="1" applyAlignment="1">
      <alignment horizontal="center"/>
    </xf>
    <xf numFmtId="0" fontId="0" fillId="0" borderId="7" xfId="0" applyBorder="1" applyAlignment="1">
      <alignment horizontal="center"/>
    </xf>
    <xf numFmtId="169" fontId="0" fillId="0" borderId="8" xfId="0" applyNumberFormat="1" applyBorder="1" applyAlignment="1">
      <alignment horizontal="center"/>
    </xf>
    <xf numFmtId="11" fontId="0" fillId="0" borderId="0" xfId="0" applyNumberFormat="1"/>
    <xf numFmtId="170" fontId="0" fillId="0" borderId="0" xfId="0" applyNumberFormat="1"/>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39" xfId="0" applyBorder="1" applyAlignment="1">
      <alignment horizontal="center" vertical="center" wrapText="1"/>
    </xf>
    <xf numFmtId="2" fontId="0" fillId="0" borderId="8" xfId="0" applyNumberFormat="1" applyBorder="1" applyAlignment="1">
      <alignment horizontal="center"/>
    </xf>
    <xf numFmtId="0" fontId="59" fillId="0" borderId="5" xfId="0" applyFont="1" applyBorder="1" applyAlignment="1">
      <alignment horizontal="center" vertical="top" wrapText="1"/>
    </xf>
    <xf numFmtId="0" fontId="0" fillId="0" borderId="41" xfId="0" applyBorder="1" applyAlignment="1">
      <alignment horizontal="center" vertical="center"/>
    </xf>
    <xf numFmtId="0" fontId="0" fillId="0" borderId="7" xfId="0" applyBorder="1" applyAlignment="1">
      <alignment horizontal="center" vertical="center"/>
    </xf>
    <xf numFmtId="0" fontId="0" fillId="0" borderId="24" xfId="0" applyBorder="1"/>
    <xf numFmtId="0" fontId="0" fillId="0" borderId="38" xfId="0" applyBorder="1"/>
    <xf numFmtId="0" fontId="0" fillId="0" borderId="57" xfId="0" applyBorder="1" applyAlignment="1">
      <alignment horizontal="center" vertical="center" wrapText="1"/>
    </xf>
    <xf numFmtId="171"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37" xfId="0" applyBorder="1" applyAlignment="1">
      <alignment horizontal="center" vertical="center"/>
    </xf>
    <xf numFmtId="11" fontId="0" fillId="0" borderId="9" xfId="0" applyNumberFormat="1" applyBorder="1" applyAlignment="1">
      <alignment horizontal="center" vertical="center"/>
    </xf>
    <xf numFmtId="170" fontId="0" fillId="25" borderId="11" xfId="0" applyNumberFormat="1" applyFill="1" applyBorder="1" applyAlignment="1">
      <alignment horizontal="center" vertical="center"/>
    </xf>
    <xf numFmtId="0" fontId="0" fillId="0" borderId="47" xfId="0" applyBorder="1" applyAlignment="1">
      <alignment horizontal="center" vertical="center"/>
    </xf>
    <xf numFmtId="170" fontId="0" fillId="0" borderId="42" xfId="0" applyNumberFormat="1" applyBorder="1" applyAlignment="1">
      <alignment horizontal="center"/>
    </xf>
    <xf numFmtId="2" fontId="18" fillId="19" borderId="5" xfId="0" applyNumberFormat="1" applyFont="1" applyFill="1" applyBorder="1" applyAlignment="1" applyProtection="1">
      <alignment horizontal="center" vertical="center"/>
      <protection hidden="1"/>
    </xf>
    <xf numFmtId="1" fontId="7" fillId="19" borderId="57" xfId="1" applyNumberFormat="1" applyFont="1" applyFill="1" applyBorder="1" applyAlignment="1" applyProtection="1">
      <alignment horizontal="center" vertical="center" wrapText="1"/>
      <protection hidden="1"/>
    </xf>
    <xf numFmtId="1" fontId="7" fillId="19" borderId="2" xfId="1" applyNumberFormat="1" applyFont="1" applyFill="1" applyBorder="1" applyAlignment="1" applyProtection="1">
      <alignment horizontal="center" vertical="center" wrapText="1"/>
      <protection hidden="1"/>
    </xf>
    <xf numFmtId="1" fontId="7" fillId="19" borderId="37" xfId="1" applyNumberFormat="1" applyFont="1" applyFill="1" applyBorder="1" applyAlignment="1" applyProtection="1">
      <alignment horizontal="center" vertical="center" wrapText="1"/>
      <protection hidden="1"/>
    </xf>
    <xf numFmtId="0" fontId="7" fillId="9" borderId="4" xfId="0" applyFont="1" applyFill="1" applyBorder="1" applyAlignment="1" applyProtection="1">
      <alignment horizontal="center" vertical="center"/>
      <protection hidden="1"/>
    </xf>
    <xf numFmtId="164" fontId="7" fillId="9" borderId="5" xfId="0" applyNumberFormat="1" applyFont="1" applyFill="1" applyBorder="1" applyAlignment="1" applyProtection="1">
      <alignment horizontal="center" vertical="center"/>
      <protection hidden="1"/>
    </xf>
    <xf numFmtId="0" fontId="7" fillId="9" borderId="39" xfId="0" applyFont="1" applyFill="1" applyBorder="1" applyAlignment="1" applyProtection="1">
      <alignment horizontal="center" vertical="center"/>
      <protection hidden="1"/>
    </xf>
    <xf numFmtId="191" fontId="7" fillId="9" borderId="8" xfId="0" applyNumberFormat="1" applyFont="1" applyFill="1" applyBorder="1" applyAlignment="1" applyProtection="1">
      <alignment horizontal="center" vertical="center"/>
      <protection hidden="1"/>
    </xf>
    <xf numFmtId="0" fontId="30" fillId="15" borderId="57" xfId="0" applyFont="1" applyFill="1" applyBorder="1" applyAlignment="1" applyProtection="1">
      <alignment horizontal="center" vertical="center"/>
      <protection hidden="1"/>
    </xf>
    <xf numFmtId="0" fontId="30" fillId="15" borderId="2" xfId="0" applyFont="1" applyFill="1" applyBorder="1" applyAlignment="1" applyProtection="1">
      <alignment horizontal="center" vertical="center"/>
      <protection hidden="1"/>
    </xf>
    <xf numFmtId="0" fontId="30" fillId="15" borderId="37" xfId="0" applyFont="1" applyFill="1" applyBorder="1" applyAlignment="1" applyProtection="1">
      <alignment horizontal="center" vertical="center"/>
      <protection hidden="1"/>
    </xf>
    <xf numFmtId="0" fontId="30" fillId="0" borderId="17" xfId="0" applyFont="1" applyFill="1" applyBorder="1" applyAlignment="1" applyProtection="1">
      <alignment horizontal="center" vertical="center"/>
      <protection hidden="1"/>
    </xf>
    <xf numFmtId="0" fontId="30" fillId="0" borderId="2" xfId="0" applyFont="1" applyFill="1" applyBorder="1" applyAlignment="1" applyProtection="1">
      <alignment horizontal="center" vertical="center"/>
      <protection hidden="1"/>
    </xf>
    <xf numFmtId="0" fontId="30" fillId="0" borderId="25" xfId="0" applyFont="1" applyFill="1" applyBorder="1" applyAlignment="1" applyProtection="1">
      <alignment horizontal="center" vertical="center"/>
      <protection hidden="1"/>
    </xf>
    <xf numFmtId="0" fontId="30" fillId="15" borderId="25" xfId="0" applyFont="1" applyFill="1" applyBorder="1" applyAlignment="1" applyProtection="1">
      <alignment horizontal="center" vertical="center"/>
      <protection hidden="1"/>
    </xf>
    <xf numFmtId="0" fontId="30" fillId="23" borderId="57" xfId="0" applyFont="1" applyFill="1" applyBorder="1" applyAlignment="1" applyProtection="1">
      <alignment horizontal="center" vertical="center"/>
      <protection hidden="1"/>
    </xf>
    <xf numFmtId="0" fontId="50" fillId="6" borderId="32" xfId="0" applyFont="1" applyFill="1" applyBorder="1" applyAlignment="1" applyProtection="1">
      <alignment horizontal="center" vertical="center" wrapText="1"/>
      <protection hidden="1"/>
    </xf>
    <xf numFmtId="0" fontId="30" fillId="0" borderId="42" xfId="0" applyFont="1" applyBorder="1" applyAlignment="1" applyProtection="1">
      <alignment horizontal="center" vertical="center"/>
      <protection hidden="1"/>
    </xf>
    <xf numFmtId="0" fontId="30" fillId="0" borderId="41" xfId="0" applyFont="1" applyFill="1" applyBorder="1" applyAlignment="1" applyProtection="1">
      <alignment horizontal="center" vertical="center" wrapText="1"/>
      <protection hidden="1"/>
    </xf>
    <xf numFmtId="0" fontId="30" fillId="0" borderId="45" xfId="0" applyFont="1" applyFill="1" applyBorder="1" applyAlignment="1" applyProtection="1">
      <alignment horizontal="center" vertical="center"/>
      <protection hidden="1"/>
    </xf>
    <xf numFmtId="0" fontId="30" fillId="15" borderId="43" xfId="0" applyFont="1" applyFill="1" applyBorder="1" applyAlignment="1" applyProtection="1">
      <alignment horizontal="center" vertical="center" wrapText="1"/>
      <protection hidden="1"/>
    </xf>
    <xf numFmtId="0" fontId="30" fillId="15" borderId="20" xfId="0" applyFont="1" applyFill="1" applyBorder="1" applyAlignment="1" applyProtection="1">
      <alignment horizontal="center" vertical="center"/>
      <protection hidden="1"/>
    </xf>
    <xf numFmtId="168" fontId="30" fillId="15" borderId="20" xfId="0" applyNumberFormat="1" applyFont="1" applyFill="1" applyBorder="1" applyAlignment="1" applyProtection="1">
      <alignment horizontal="center" vertical="center"/>
      <protection hidden="1"/>
    </xf>
    <xf numFmtId="0" fontId="30" fillId="15" borderId="20" xfId="4" applyFont="1" applyFill="1" applyBorder="1" applyProtection="1">
      <alignment horizontal="center" vertical="center"/>
      <protection hidden="1"/>
    </xf>
    <xf numFmtId="164" fontId="30" fillId="19" borderId="20" xfId="0" applyNumberFormat="1" applyFont="1" applyFill="1" applyBorder="1" applyAlignment="1" applyProtection="1">
      <alignment horizontal="center" vertical="center"/>
      <protection hidden="1"/>
    </xf>
    <xf numFmtId="2" fontId="30" fillId="15" borderId="20" xfId="0" applyNumberFormat="1" applyFont="1" applyFill="1" applyBorder="1" applyAlignment="1" applyProtection="1">
      <alignment horizontal="center" vertical="center"/>
      <protection hidden="1"/>
    </xf>
    <xf numFmtId="0" fontId="30" fillId="19" borderId="20" xfId="0" applyFont="1" applyFill="1" applyBorder="1" applyAlignment="1" applyProtection="1">
      <alignment horizontal="center" vertical="center"/>
      <protection hidden="1"/>
    </xf>
    <xf numFmtId="165" fontId="30" fillId="15" borderId="20" xfId="0" applyNumberFormat="1" applyFont="1" applyFill="1" applyBorder="1" applyAlignment="1" applyProtection="1">
      <alignment horizontal="center" vertical="center"/>
      <protection hidden="1"/>
    </xf>
    <xf numFmtId="169" fontId="30" fillId="15" borderId="20" xfId="0" applyNumberFormat="1" applyFont="1" applyFill="1" applyBorder="1" applyAlignment="1" applyProtection="1">
      <alignment horizontal="center" vertical="center"/>
      <protection hidden="1"/>
    </xf>
    <xf numFmtId="0" fontId="30" fillId="15" borderId="17" xfId="0" applyFont="1" applyFill="1" applyBorder="1" applyAlignment="1" applyProtection="1">
      <alignment horizontal="center" vertical="center"/>
      <protection hidden="1"/>
    </xf>
    <xf numFmtId="0" fontId="30" fillId="23" borderId="7" xfId="0" applyFont="1" applyFill="1" applyBorder="1" applyAlignment="1" applyProtection="1">
      <alignment horizontal="center" vertical="center" wrapText="1"/>
      <protection hidden="1"/>
    </xf>
    <xf numFmtId="0" fontId="30" fillId="23" borderId="8" xfId="0" applyFont="1" applyFill="1" applyBorder="1" applyAlignment="1" applyProtection="1">
      <alignment horizontal="center" vertical="center"/>
      <protection hidden="1"/>
    </xf>
    <xf numFmtId="168" fontId="30" fillId="23" borderId="8" xfId="0" applyNumberFormat="1" applyFont="1" applyFill="1" applyBorder="1" applyAlignment="1" applyProtection="1">
      <alignment horizontal="center" vertical="center"/>
      <protection hidden="1"/>
    </xf>
    <xf numFmtId="181" fontId="30" fillId="23" borderId="8" xfId="0" applyNumberFormat="1" applyFont="1" applyFill="1" applyBorder="1" applyAlignment="1" applyProtection="1">
      <alignment horizontal="center" vertical="center"/>
      <protection hidden="1"/>
    </xf>
    <xf numFmtId="0" fontId="30" fillId="23" borderId="8" xfId="4" applyFont="1" applyFill="1" applyBorder="1" applyProtection="1">
      <alignment horizontal="center" vertical="center"/>
      <protection hidden="1"/>
    </xf>
    <xf numFmtId="164" fontId="30" fillId="23" borderId="8" xfId="0" applyNumberFormat="1" applyFont="1" applyFill="1" applyBorder="1" applyAlignment="1" applyProtection="1">
      <alignment horizontal="center" vertical="center"/>
      <protection hidden="1"/>
    </xf>
    <xf numFmtId="169" fontId="30" fillId="23" borderId="8" xfId="0" applyNumberFormat="1" applyFont="1" applyFill="1" applyBorder="1" applyAlignment="1" applyProtection="1">
      <alignment horizontal="center" vertical="center"/>
      <protection hidden="1"/>
    </xf>
    <xf numFmtId="0" fontId="30" fillId="23" borderId="37" xfId="0" applyFont="1" applyFill="1" applyBorder="1" applyAlignment="1" applyProtection="1">
      <alignment horizontal="center" vertical="center"/>
      <protection hidden="1"/>
    </xf>
    <xf numFmtId="0" fontId="30" fillId="23" borderId="12" xfId="0" applyFont="1" applyFill="1" applyBorder="1" applyAlignment="1" applyProtection="1">
      <alignment horizontal="center" vertical="center"/>
      <protection hidden="1"/>
    </xf>
    <xf numFmtId="166" fontId="30" fillId="19" borderId="49" xfId="0" applyNumberFormat="1" applyFont="1" applyFill="1" applyBorder="1" applyAlignment="1" applyProtection="1">
      <alignment horizontal="center" vertical="center"/>
      <protection hidden="1"/>
    </xf>
    <xf numFmtId="180" fontId="30" fillId="15" borderId="49" xfId="0" applyNumberFormat="1" applyFont="1" applyFill="1" applyBorder="1" applyAlignment="1" applyProtection="1">
      <alignment horizontal="center" vertical="center"/>
      <protection hidden="1"/>
    </xf>
    <xf numFmtId="169" fontId="30" fillId="19" borderId="49" xfId="0" applyNumberFormat="1" applyFont="1" applyFill="1" applyBorder="1" applyAlignment="1" applyProtection="1">
      <alignment horizontal="center" vertical="center"/>
      <protection hidden="1"/>
    </xf>
    <xf numFmtId="0" fontId="30" fillId="0" borderId="44" xfId="0" applyFont="1" applyBorder="1" applyAlignment="1" applyProtection="1">
      <alignment horizontal="center" vertical="center"/>
      <protection hidden="1"/>
    </xf>
    <xf numFmtId="0" fontId="30" fillId="0" borderId="9" xfId="0" applyFont="1" applyBorder="1" applyAlignment="1" applyProtection="1">
      <protection hidden="1"/>
    </xf>
    <xf numFmtId="0" fontId="30" fillId="0" borderId="10" xfId="0" applyFont="1" applyBorder="1" applyAlignment="1" applyProtection="1">
      <protection hidden="1"/>
    </xf>
    <xf numFmtId="0" fontId="30" fillId="0" borderId="10" xfId="0" applyFont="1" applyBorder="1" applyProtection="1">
      <protection hidden="1"/>
    </xf>
    <xf numFmtId="0" fontId="30" fillId="0" borderId="10" xfId="0" applyFont="1" applyBorder="1" applyAlignment="1" applyProtection="1">
      <alignment horizontal="center" vertical="center"/>
      <protection hidden="1"/>
    </xf>
    <xf numFmtId="0" fontId="30" fillId="0" borderId="47" xfId="0" applyFont="1" applyBorder="1" applyAlignment="1" applyProtection="1">
      <alignment horizontal="center" vertical="center"/>
      <protection hidden="1"/>
    </xf>
    <xf numFmtId="0" fontId="30" fillId="0" borderId="11" xfId="0" applyFont="1" applyBorder="1" applyAlignment="1" applyProtection="1">
      <alignment horizontal="center" vertical="center"/>
      <protection hidden="1"/>
    </xf>
    <xf numFmtId="0" fontId="30" fillId="0" borderId="46" xfId="0" applyFont="1" applyBorder="1" applyAlignment="1" applyProtection="1">
      <alignment horizontal="center" vertical="center"/>
      <protection hidden="1"/>
    </xf>
    <xf numFmtId="1" fontId="7" fillId="6" borderId="6" xfId="0" applyNumberFormat="1" applyFont="1" applyFill="1" applyBorder="1" applyAlignment="1" applyProtection="1">
      <alignment horizontal="center" vertical="center"/>
      <protection hidden="1"/>
    </xf>
    <xf numFmtId="2" fontId="4" fillId="19" borderId="10" xfId="0" applyNumberFormat="1" applyFont="1" applyFill="1" applyBorder="1" applyAlignment="1" applyProtection="1">
      <alignment horizontal="center" vertical="center" wrapText="1"/>
      <protection hidden="1"/>
    </xf>
    <xf numFmtId="171" fontId="36" fillId="19" borderId="41" xfId="0" applyNumberFormat="1" applyFont="1" applyFill="1" applyBorder="1" applyAlignment="1" applyProtection="1">
      <alignment horizontal="center" vertical="center" wrapText="1"/>
      <protection hidden="1"/>
    </xf>
    <xf numFmtId="171" fontId="36" fillId="19" borderId="7" xfId="0" applyNumberFormat="1" applyFont="1" applyFill="1" applyBorder="1" applyAlignment="1" applyProtection="1">
      <alignment horizontal="center" vertical="center" wrapText="1"/>
      <protection hidden="1"/>
    </xf>
    <xf numFmtId="11" fontId="7" fillId="19" borderId="69" xfId="0" applyNumberFormat="1" applyFont="1" applyFill="1" applyBorder="1" applyAlignment="1" applyProtection="1">
      <alignment horizontal="center" vertical="center"/>
      <protection hidden="1"/>
    </xf>
    <xf numFmtId="11" fontId="7" fillId="19" borderId="70" xfId="0" applyNumberFormat="1" applyFont="1" applyFill="1" applyBorder="1" applyAlignment="1" applyProtection="1">
      <alignment horizontal="center" vertical="center"/>
      <protection hidden="1"/>
    </xf>
    <xf numFmtId="11" fontId="7" fillId="19" borderId="71" xfId="0" applyNumberFormat="1" applyFont="1" applyFill="1" applyBorder="1" applyAlignment="1" applyProtection="1">
      <alignment horizontal="center" vertical="center"/>
      <protection hidden="1"/>
    </xf>
    <xf numFmtId="196" fontId="7" fillId="9" borderId="66" xfId="0" applyNumberFormat="1" applyFont="1" applyFill="1" applyBorder="1" applyAlignment="1" applyProtection="1">
      <alignment horizontal="center" vertical="center"/>
      <protection hidden="1"/>
    </xf>
    <xf numFmtId="2" fontId="8" fillId="9" borderId="48" xfId="0" applyNumberFormat="1" applyFont="1" applyFill="1" applyBorder="1" applyAlignment="1" applyProtection="1">
      <alignment horizontal="center" vertical="center"/>
      <protection hidden="1"/>
    </xf>
    <xf numFmtId="2" fontId="8" fillId="9" borderId="49" xfId="0" applyNumberFormat="1" applyFont="1" applyFill="1" applyBorder="1" applyAlignment="1" applyProtection="1">
      <alignment horizontal="center" vertical="center"/>
      <protection hidden="1"/>
    </xf>
    <xf numFmtId="2" fontId="8" fillId="9" borderId="50" xfId="0" applyNumberFormat="1" applyFont="1" applyFill="1" applyBorder="1" applyAlignment="1" applyProtection="1">
      <alignment horizontal="center" vertical="center"/>
      <protection hidden="1"/>
    </xf>
    <xf numFmtId="1" fontId="8" fillId="9" borderId="73" xfId="0" applyNumberFormat="1" applyFont="1" applyFill="1" applyBorder="1" applyAlignment="1" applyProtection="1">
      <alignment horizontal="center" vertical="center"/>
      <protection hidden="1"/>
    </xf>
    <xf numFmtId="1" fontId="8" fillId="9" borderId="10" xfId="0" applyNumberFormat="1" applyFont="1" applyFill="1" applyBorder="1" applyAlignment="1" applyProtection="1">
      <alignment horizontal="center" vertical="center"/>
      <protection hidden="1"/>
    </xf>
    <xf numFmtId="1" fontId="8" fillId="9" borderId="11" xfId="0" applyNumberFormat="1" applyFont="1" applyFill="1" applyBorder="1" applyAlignment="1" applyProtection="1">
      <alignment horizontal="center" vertical="center"/>
      <protection hidden="1"/>
    </xf>
    <xf numFmtId="1" fontId="13" fillId="6" borderId="64" xfId="0" applyNumberFormat="1" applyFont="1" applyFill="1" applyBorder="1" applyAlignment="1" applyProtection="1">
      <alignment horizontal="center" vertical="center" wrapText="1"/>
      <protection hidden="1"/>
    </xf>
    <xf numFmtId="182" fontId="7" fillId="7" borderId="3" xfId="0" applyNumberFormat="1" applyFont="1" applyFill="1" applyBorder="1" applyAlignment="1" applyProtection="1">
      <alignment horizontal="center" vertical="center"/>
      <protection locked="0" hidden="1"/>
    </xf>
    <xf numFmtId="171" fontId="13" fillId="9" borderId="3" xfId="0" applyNumberFormat="1" applyFont="1" applyFill="1" applyBorder="1" applyAlignment="1" applyProtection="1">
      <alignment horizontal="center" vertical="center"/>
      <protection hidden="1"/>
    </xf>
    <xf numFmtId="171" fontId="13" fillId="9" borderId="13" xfId="0" applyNumberFormat="1" applyFont="1" applyFill="1" applyBorder="1" applyAlignment="1" applyProtection="1">
      <alignment horizontal="center" vertical="center"/>
      <protection hidden="1"/>
    </xf>
    <xf numFmtId="171" fontId="13" fillId="9" borderId="6" xfId="0" applyNumberFormat="1" applyFont="1" applyFill="1" applyBorder="1" applyAlignment="1" applyProtection="1">
      <alignment horizontal="center" vertical="center"/>
      <protection hidden="1"/>
    </xf>
    <xf numFmtId="2" fontId="13" fillId="6" borderId="69" xfId="0" applyNumberFormat="1" applyFont="1" applyFill="1" applyBorder="1" applyAlignment="1" applyProtection="1">
      <alignment horizontal="center" vertical="center"/>
      <protection hidden="1"/>
    </xf>
    <xf numFmtId="2" fontId="13" fillId="6" borderId="70" xfId="0" applyNumberFormat="1" applyFont="1" applyFill="1" applyBorder="1" applyAlignment="1" applyProtection="1">
      <alignment horizontal="center" vertical="center" wrapText="1"/>
      <protection hidden="1"/>
    </xf>
    <xf numFmtId="2" fontId="13" fillId="6" borderId="71" xfId="0" applyNumberFormat="1" applyFont="1" applyFill="1" applyBorder="1" applyAlignment="1" applyProtection="1">
      <alignment horizontal="center" vertical="center" wrapText="1"/>
      <protection hidden="1"/>
    </xf>
    <xf numFmtId="171" fontId="27" fillId="19" borderId="9" xfId="0" applyNumberFormat="1" applyFont="1" applyFill="1" applyBorder="1" applyAlignment="1" applyProtection="1">
      <alignment horizontal="center" vertical="center"/>
      <protection hidden="1"/>
    </xf>
    <xf numFmtId="171" fontId="27" fillId="19" borderId="11" xfId="0" applyNumberFormat="1" applyFont="1" applyFill="1" applyBorder="1" applyAlignment="1" applyProtection="1">
      <alignment horizontal="center" vertical="center" wrapText="1"/>
      <protection hidden="1"/>
    </xf>
    <xf numFmtId="171" fontId="27" fillId="19" borderId="14" xfId="0" applyNumberFormat="1" applyFont="1" applyFill="1" applyBorder="1" applyAlignment="1" applyProtection="1">
      <alignment horizontal="center" vertical="center" wrapText="1"/>
      <protection hidden="1"/>
    </xf>
    <xf numFmtId="171" fontId="27" fillId="19" borderId="21" xfId="0" applyNumberFormat="1" applyFont="1" applyFill="1" applyBorder="1" applyAlignment="1" applyProtection="1">
      <alignment horizontal="center" vertical="center" wrapText="1"/>
      <protection hidden="1"/>
    </xf>
    <xf numFmtId="171" fontId="27" fillId="19" borderId="35" xfId="0" applyNumberFormat="1" applyFont="1" applyFill="1" applyBorder="1" applyAlignment="1" applyProtection="1">
      <alignment horizontal="center" vertical="center" wrapText="1"/>
      <protection hidden="1"/>
    </xf>
    <xf numFmtId="11" fontId="0" fillId="0" borderId="12" xfId="0" applyNumberFormat="1" applyBorder="1" applyAlignment="1">
      <alignment horizontal="center"/>
    </xf>
    <xf numFmtId="170" fontId="0" fillId="0" borderId="1" xfId="0" applyNumberFormat="1" applyBorder="1" applyAlignment="1">
      <alignment horizontal="center"/>
    </xf>
    <xf numFmtId="170" fontId="0" fillId="25" borderId="8" xfId="0" applyNumberFormat="1" applyFill="1" applyBorder="1" applyAlignment="1">
      <alignment horizontal="center"/>
    </xf>
    <xf numFmtId="11" fontId="0" fillId="25" borderId="35" xfId="0" applyNumberFormat="1" applyFill="1" applyBorder="1" applyAlignment="1">
      <alignment horizontal="center"/>
    </xf>
    <xf numFmtId="0" fontId="30" fillId="0" borderId="0" xfId="0" applyFont="1" applyFill="1" applyAlignment="1" applyProtection="1">
      <alignment horizontal="center" vertical="center" wrapText="1"/>
      <protection hidden="1"/>
    </xf>
    <xf numFmtId="2" fontId="7" fillId="6" borderId="62" xfId="0" applyNumberFormat="1" applyFont="1" applyFill="1" applyBorder="1" applyAlignment="1" applyProtection="1">
      <alignment vertical="center"/>
      <protection hidden="1"/>
    </xf>
    <xf numFmtId="2" fontId="7" fillId="6" borderId="19" xfId="0" applyNumberFormat="1" applyFont="1" applyFill="1" applyBorder="1" applyAlignment="1" applyProtection="1">
      <alignment vertical="center"/>
      <protection hidden="1"/>
    </xf>
    <xf numFmtId="2" fontId="7" fillId="6" borderId="66" xfId="0" applyNumberFormat="1" applyFont="1" applyFill="1" applyBorder="1" applyAlignment="1" applyProtection="1">
      <alignment vertical="center"/>
      <protection hidden="1"/>
    </xf>
    <xf numFmtId="2" fontId="13" fillId="6" borderId="21" xfId="0" applyNumberFormat="1" applyFont="1" applyFill="1" applyBorder="1" applyAlignment="1" applyProtection="1">
      <alignment vertical="center"/>
      <protection hidden="1"/>
    </xf>
    <xf numFmtId="2" fontId="13" fillId="6" borderId="40" xfId="0" applyNumberFormat="1" applyFont="1" applyFill="1" applyBorder="1" applyAlignment="1" applyProtection="1">
      <alignment vertical="center"/>
      <protection hidden="1"/>
    </xf>
    <xf numFmtId="2" fontId="13" fillId="6" borderId="6" xfId="0" applyNumberFormat="1" applyFont="1" applyFill="1" applyBorder="1" applyAlignment="1" applyProtection="1">
      <alignment vertical="center"/>
      <protection hidden="1"/>
    </xf>
    <xf numFmtId="11" fontId="13" fillId="19" borderId="39" xfId="0" applyNumberFormat="1" applyFont="1" applyFill="1" applyBorder="1" applyAlignment="1" applyProtection="1">
      <alignment horizontal="center" vertical="center"/>
      <protection hidden="1"/>
    </xf>
    <xf numFmtId="11" fontId="13" fillId="19" borderId="42" xfId="0" applyNumberFormat="1" applyFont="1" applyFill="1" applyBorder="1" applyAlignment="1" applyProtection="1">
      <alignment horizontal="center" vertical="center"/>
      <protection hidden="1"/>
    </xf>
    <xf numFmtId="11" fontId="13" fillId="19" borderId="12" xfId="0" applyNumberFormat="1" applyFont="1" applyFill="1" applyBorder="1" applyAlignment="1" applyProtection="1">
      <alignment horizontal="center" vertical="center"/>
      <protection hidden="1"/>
    </xf>
    <xf numFmtId="171" fontId="16" fillId="3" borderId="50" xfId="0" applyNumberFormat="1" applyFont="1" applyFill="1" applyBorder="1" applyAlignment="1" applyProtection="1">
      <alignment horizontal="center" vertical="center"/>
      <protection hidden="1"/>
    </xf>
    <xf numFmtId="2" fontId="17" fillId="2" borderId="73" xfId="0" applyNumberFormat="1" applyFont="1" applyFill="1" applyBorder="1" applyAlignment="1" applyProtection="1">
      <alignment horizontal="center" vertical="center" wrapText="1"/>
      <protection hidden="1"/>
    </xf>
    <xf numFmtId="171" fontId="30" fillId="2" borderId="18" xfId="0" applyNumberFormat="1" applyFont="1" applyFill="1" applyBorder="1" applyAlignment="1" applyProtection="1">
      <alignment horizontal="center" vertical="center"/>
      <protection hidden="1"/>
    </xf>
    <xf numFmtId="186" fontId="30" fillId="0" borderId="3" xfId="0" applyNumberFormat="1" applyFont="1" applyBorder="1" applyAlignment="1" applyProtection="1">
      <alignment horizontal="center" vertical="center" wrapText="1"/>
      <protection hidden="1"/>
    </xf>
    <xf numFmtId="186" fontId="30" fillId="0" borderId="13" xfId="0" applyNumberFormat="1" applyFont="1" applyBorder="1" applyAlignment="1" applyProtection="1">
      <alignment horizontal="center" vertical="center" wrapText="1"/>
      <protection hidden="1"/>
    </xf>
    <xf numFmtId="2" fontId="17" fillId="19" borderId="35" xfId="0" applyNumberFormat="1" applyFont="1" applyFill="1" applyBorder="1" applyAlignment="1" applyProtection="1">
      <alignment horizontal="center" vertical="center" wrapText="1"/>
      <protection hidden="1"/>
    </xf>
    <xf numFmtId="0" fontId="30" fillId="19" borderId="78" xfId="0" applyNumberFormat="1" applyFont="1" applyFill="1" applyBorder="1" applyAlignment="1" applyProtection="1">
      <alignment horizontal="center" vertical="center" wrapText="1"/>
      <protection hidden="1"/>
    </xf>
    <xf numFmtId="0" fontId="30" fillId="19" borderId="70" xfId="0" applyNumberFormat="1" applyFont="1" applyFill="1" applyBorder="1" applyAlignment="1" applyProtection="1">
      <alignment horizontal="center" vertical="center" wrapText="1"/>
      <protection hidden="1"/>
    </xf>
    <xf numFmtId="0" fontId="30" fillId="19" borderId="71" xfId="0" applyNumberFormat="1" applyFont="1" applyFill="1" applyBorder="1" applyAlignment="1" applyProtection="1">
      <alignment horizontal="center" vertical="center" wrapText="1"/>
      <protection hidden="1"/>
    </xf>
    <xf numFmtId="1" fontId="30" fillId="19" borderId="70" xfId="0" applyNumberFormat="1" applyFont="1" applyFill="1" applyBorder="1" applyAlignment="1" applyProtection="1">
      <alignment horizontal="center" vertical="center" wrapText="1"/>
      <protection hidden="1"/>
    </xf>
    <xf numFmtId="1" fontId="30" fillId="19" borderId="71" xfId="0" applyNumberFormat="1" applyFont="1" applyFill="1" applyBorder="1" applyAlignment="1" applyProtection="1">
      <alignment horizontal="center" vertical="center" wrapText="1"/>
      <protection hidden="1"/>
    </xf>
    <xf numFmtId="0" fontId="17" fillId="0" borderId="18" xfId="0" applyFont="1" applyFill="1" applyBorder="1" applyAlignment="1" applyProtection="1">
      <alignment horizontal="center" vertical="center" wrapText="1"/>
      <protection hidden="1"/>
    </xf>
    <xf numFmtId="0" fontId="17" fillId="0" borderId="17" xfId="0" applyFont="1" applyFill="1" applyBorder="1" applyAlignment="1" applyProtection="1">
      <alignment horizontal="center" vertical="center" wrapText="1"/>
      <protection hidden="1"/>
    </xf>
    <xf numFmtId="2" fontId="30" fillId="0" borderId="2" xfId="0" applyNumberFormat="1" applyFont="1" applyFill="1" applyBorder="1" applyAlignment="1" applyProtection="1">
      <alignment horizontal="center" vertical="center" wrapText="1"/>
      <protection hidden="1"/>
    </xf>
    <xf numFmtId="2" fontId="30" fillId="0" borderId="37" xfId="0" applyNumberFormat="1" applyFont="1" applyFill="1" applyBorder="1" applyAlignment="1" applyProtection="1">
      <alignment horizontal="center" vertical="center" wrapText="1"/>
      <protection hidden="1"/>
    </xf>
    <xf numFmtId="0" fontId="27" fillId="0" borderId="78" xfId="0" applyFont="1" applyFill="1" applyBorder="1" applyAlignment="1" applyProtection="1">
      <alignment horizontal="center" vertical="center" wrapText="1"/>
      <protection hidden="1"/>
    </xf>
    <xf numFmtId="0" fontId="30" fillId="0" borderId="70" xfId="0" applyFont="1" applyFill="1" applyBorder="1" applyAlignment="1" applyProtection="1">
      <alignment horizontal="center" vertical="center"/>
      <protection hidden="1"/>
    </xf>
    <xf numFmtId="0" fontId="30" fillId="0" borderId="71" xfId="0" applyFont="1" applyFill="1" applyBorder="1" applyAlignment="1" applyProtection="1">
      <alignment horizontal="center" vertical="center"/>
      <protection hidden="1"/>
    </xf>
    <xf numFmtId="0" fontId="27" fillId="0" borderId="0" xfId="0" applyFont="1" applyAlignment="1" applyProtection="1">
      <alignment vertical="center" wrapText="1"/>
      <protection hidden="1"/>
    </xf>
    <xf numFmtId="2" fontId="30" fillId="0" borderId="3" xfId="0" applyNumberFormat="1" applyFont="1" applyFill="1" applyBorder="1" applyAlignment="1" applyProtection="1">
      <alignment horizontal="center" vertical="center" wrapText="1"/>
      <protection hidden="1"/>
    </xf>
    <xf numFmtId="2" fontId="30" fillId="0" borderId="13" xfId="0" applyNumberFormat="1" applyFont="1" applyFill="1" applyBorder="1" applyAlignment="1" applyProtection="1">
      <alignment horizontal="center" vertical="center" wrapText="1"/>
      <protection hidden="1"/>
    </xf>
    <xf numFmtId="170" fontId="60" fillId="0" borderId="35" xfId="0" applyNumberFormat="1" applyFont="1" applyBorder="1" applyAlignment="1">
      <alignment horizontal="center" vertical="center"/>
    </xf>
    <xf numFmtId="0" fontId="30" fillId="0" borderId="0" xfId="0" applyFont="1" applyFill="1" applyBorder="1" applyAlignment="1" applyProtection="1">
      <alignment vertical="center" wrapText="1"/>
      <protection hidden="1"/>
    </xf>
    <xf numFmtId="0" fontId="30" fillId="0" borderId="0" xfId="0" applyFont="1" applyFill="1" applyAlignment="1" applyProtection="1">
      <alignment horizontal="left" vertical="justify" wrapText="1"/>
      <protection hidden="1"/>
    </xf>
    <xf numFmtId="0" fontId="27" fillId="0" borderId="0" xfId="0" applyFont="1" applyFill="1" applyBorder="1" applyAlignment="1" applyProtection="1">
      <alignment horizontal="center" vertical="center" wrapText="1"/>
      <protection hidden="1"/>
    </xf>
    <xf numFmtId="0" fontId="30" fillId="0" borderId="0" xfId="0" applyFont="1" applyFill="1" applyBorder="1" applyAlignment="1" applyProtection="1">
      <alignment horizontal="left" vertical="center" wrapText="1"/>
      <protection hidden="1"/>
    </xf>
    <xf numFmtId="0" fontId="27" fillId="0" borderId="0" xfId="0" applyFont="1" applyFill="1" applyAlignment="1" applyProtection="1">
      <alignment vertical="center" wrapText="1"/>
      <protection hidden="1"/>
    </xf>
    <xf numFmtId="11" fontId="30" fillId="0" borderId="0" xfId="0" applyNumberFormat="1" applyFont="1" applyFill="1" applyProtection="1">
      <protection hidden="1"/>
    </xf>
    <xf numFmtId="2" fontId="52" fillId="0" borderId="14" xfId="0" applyNumberFormat="1" applyFont="1" applyFill="1" applyBorder="1" applyAlignment="1" applyProtection="1">
      <alignment horizontal="center" vertical="center" wrapText="1"/>
      <protection hidden="1"/>
    </xf>
    <xf numFmtId="171" fontId="13" fillId="9" borderId="15" xfId="0" applyNumberFormat="1" applyFont="1" applyFill="1" applyBorder="1" applyAlignment="1" applyProtection="1">
      <alignment horizontal="center" vertical="center"/>
      <protection hidden="1"/>
    </xf>
    <xf numFmtId="169" fontId="13" fillId="9" borderId="20" xfId="0" applyNumberFormat="1" applyFont="1" applyFill="1" applyBorder="1" applyAlignment="1" applyProtection="1">
      <alignment horizontal="center" vertical="center"/>
      <protection hidden="1"/>
    </xf>
    <xf numFmtId="164" fontId="13" fillId="9" borderId="8" xfId="0" applyNumberFormat="1" applyFont="1" applyFill="1" applyBorder="1" applyAlignment="1" applyProtection="1">
      <alignment horizontal="center" vertical="center"/>
      <protection hidden="1"/>
    </xf>
    <xf numFmtId="2" fontId="7" fillId="9" borderId="8" xfId="0" applyNumberFormat="1" applyFont="1" applyFill="1" applyBorder="1" applyAlignment="1" applyProtection="1">
      <alignment horizontal="center" vertical="center"/>
      <protection hidden="1"/>
    </xf>
    <xf numFmtId="170" fontId="13" fillId="9" borderId="8" xfId="0" applyNumberFormat="1" applyFont="1" applyFill="1" applyBorder="1" applyAlignment="1" applyProtection="1">
      <alignment horizontal="center" vertical="center"/>
      <protection hidden="1"/>
    </xf>
    <xf numFmtId="170" fontId="13" fillId="9" borderId="5" xfId="0" applyNumberFormat="1" applyFont="1" applyFill="1" applyBorder="1" applyAlignment="1" applyProtection="1">
      <alignment horizontal="center" vertical="center"/>
      <protection hidden="1"/>
    </xf>
    <xf numFmtId="1" fontId="30" fillId="19" borderId="78" xfId="0" applyNumberFormat="1" applyFont="1" applyFill="1" applyBorder="1" applyAlignment="1" applyProtection="1">
      <alignment horizontal="center" vertical="center" wrapText="1"/>
      <protection hidden="1"/>
    </xf>
    <xf numFmtId="2" fontId="36" fillId="19" borderId="5" xfId="0" applyNumberFormat="1" applyFont="1" applyFill="1" applyBorder="1" applyAlignment="1" applyProtection="1">
      <alignment horizontal="center" vertical="center" wrapText="1"/>
      <protection hidden="1"/>
    </xf>
    <xf numFmtId="170" fontId="7" fillId="9" borderId="5" xfId="0" applyNumberFormat="1" applyFont="1" applyFill="1" applyBorder="1" applyAlignment="1" applyProtection="1">
      <alignment horizontal="center" vertical="center"/>
      <protection hidden="1"/>
    </xf>
    <xf numFmtId="170" fontId="7" fillId="9" borderId="8" xfId="0" applyNumberFormat="1" applyFont="1" applyFill="1" applyBorder="1" applyAlignment="1" applyProtection="1">
      <alignment horizontal="center" vertical="center"/>
      <protection hidden="1"/>
    </xf>
    <xf numFmtId="0" fontId="30" fillId="0" borderId="40" xfId="0" applyFont="1" applyFill="1" applyBorder="1" applyAlignment="1" applyProtection="1">
      <alignment vertical="justify" wrapText="1"/>
      <protection hidden="1"/>
    </xf>
    <xf numFmtId="170" fontId="30" fillId="0" borderId="0" xfId="0" applyNumberFormat="1" applyFont="1" applyFill="1" applyAlignment="1" applyProtection="1">
      <alignment vertical="justify" wrapText="1"/>
      <protection hidden="1"/>
    </xf>
    <xf numFmtId="170" fontId="30" fillId="0" borderId="0" xfId="0" applyNumberFormat="1" applyFont="1" applyFill="1" applyBorder="1" applyAlignment="1" applyProtection="1">
      <alignment horizontal="left" vertical="center" wrapText="1"/>
      <protection hidden="1"/>
    </xf>
    <xf numFmtId="170" fontId="30" fillId="19" borderId="10" xfId="0" applyNumberFormat="1" applyFont="1" applyFill="1" applyBorder="1" applyAlignment="1" applyProtection="1">
      <alignment horizontal="center"/>
      <protection hidden="1"/>
    </xf>
    <xf numFmtId="2" fontId="52" fillId="19" borderId="11" xfId="0" applyNumberFormat="1" applyFont="1" applyFill="1" applyBorder="1" applyAlignment="1" applyProtection="1">
      <alignment horizontal="center" vertical="center" wrapText="1"/>
      <protection hidden="1"/>
    </xf>
    <xf numFmtId="9" fontId="7" fillId="0" borderId="0" xfId="1" applyFont="1" applyAlignment="1" applyProtection="1">
      <alignment horizontal="center"/>
      <protection hidden="1"/>
    </xf>
    <xf numFmtId="1" fontId="9" fillId="9" borderId="1" xfId="0" applyNumberFormat="1" applyFont="1" applyFill="1" applyBorder="1" applyAlignment="1" applyProtection="1">
      <alignment horizontal="center" vertical="center"/>
      <protection hidden="1"/>
    </xf>
    <xf numFmtId="171" fontId="8" fillId="9" borderId="48" xfId="0" applyNumberFormat="1" applyFont="1" applyFill="1" applyBorder="1" applyAlignment="1" applyProtection="1">
      <alignment horizontal="center" vertical="center"/>
      <protection hidden="1"/>
    </xf>
    <xf numFmtId="171" fontId="8" fillId="9" borderId="49" xfId="0" applyNumberFormat="1" applyFont="1" applyFill="1" applyBorder="1" applyAlignment="1" applyProtection="1">
      <alignment horizontal="center" vertical="center"/>
      <protection hidden="1"/>
    </xf>
    <xf numFmtId="164" fontId="8" fillId="9" borderId="49" xfId="0" applyNumberFormat="1" applyFont="1" applyFill="1" applyBorder="1" applyAlignment="1" applyProtection="1">
      <alignment horizontal="center" vertical="center"/>
      <protection hidden="1"/>
    </xf>
    <xf numFmtId="2" fontId="9" fillId="9" borderId="50" xfId="0" applyNumberFormat="1" applyFont="1" applyFill="1" applyBorder="1" applyAlignment="1" applyProtection="1">
      <alignment horizontal="center" vertical="center"/>
      <protection hidden="1"/>
    </xf>
    <xf numFmtId="1" fontId="9" fillId="9" borderId="5" xfId="0" applyNumberFormat="1" applyFont="1" applyFill="1" applyBorder="1" applyAlignment="1" applyProtection="1">
      <alignment horizontal="center" vertical="center"/>
      <protection hidden="1"/>
    </xf>
    <xf numFmtId="169" fontId="9" fillId="9" borderId="7" xfId="0" applyNumberFormat="1" applyFont="1" applyFill="1" applyBorder="1" applyAlignment="1" applyProtection="1">
      <alignment horizontal="center" vertical="center"/>
      <protection hidden="1"/>
    </xf>
    <xf numFmtId="169" fontId="9" fillId="9" borderId="8" xfId="0" applyNumberFormat="1" applyFont="1" applyFill="1" applyBorder="1" applyAlignment="1" applyProtection="1">
      <alignment horizontal="center" vertical="center"/>
      <protection hidden="1"/>
    </xf>
    <xf numFmtId="2" fontId="9" fillId="9" borderId="37" xfId="0" applyNumberFormat="1" applyFont="1" applyFill="1" applyBorder="1" applyAlignment="1" applyProtection="1">
      <alignment horizontal="center" vertical="center"/>
      <protection hidden="1"/>
    </xf>
    <xf numFmtId="1" fontId="9" fillId="9" borderId="8" xfId="0" applyNumberFormat="1" applyFont="1" applyFill="1" applyBorder="1" applyAlignment="1" applyProtection="1">
      <alignment horizontal="center" vertical="center"/>
      <protection hidden="1"/>
    </xf>
    <xf numFmtId="167" fontId="8" fillId="9" borderId="48" xfId="0" applyNumberFormat="1" applyFont="1" applyFill="1" applyBorder="1" applyAlignment="1" applyProtection="1">
      <alignment horizontal="center" vertical="center"/>
      <protection hidden="1"/>
    </xf>
    <xf numFmtId="167" fontId="8" fillId="9" borderId="49" xfId="0" applyNumberFormat="1" applyFont="1" applyFill="1" applyBorder="1" applyAlignment="1" applyProtection="1">
      <alignment horizontal="center" vertical="center"/>
      <protection hidden="1"/>
    </xf>
    <xf numFmtId="165" fontId="8" fillId="9" borderId="49" xfId="0" applyNumberFormat="1" applyFont="1" applyFill="1" applyBorder="1" applyAlignment="1" applyProtection="1">
      <alignment horizontal="center" vertical="center"/>
      <protection hidden="1"/>
    </xf>
    <xf numFmtId="2" fontId="7" fillId="9" borderId="50" xfId="0" applyNumberFormat="1" applyFont="1" applyFill="1" applyBorder="1" applyAlignment="1" applyProtection="1">
      <alignment horizontal="center" vertical="center"/>
      <protection hidden="1"/>
    </xf>
    <xf numFmtId="1" fontId="9" fillId="19" borderId="8" xfId="0" applyNumberFormat="1" applyFont="1" applyFill="1" applyBorder="1" applyAlignment="1" applyProtection="1">
      <alignment horizontal="center" vertical="center"/>
      <protection hidden="1"/>
    </xf>
    <xf numFmtId="2" fontId="26" fillId="8" borderId="9" xfId="0" applyNumberFormat="1" applyFont="1" applyFill="1" applyBorder="1" applyAlignment="1" applyProtection="1">
      <alignment horizontal="center" vertical="center"/>
      <protection hidden="1"/>
    </xf>
    <xf numFmtId="2" fontId="26" fillId="3" borderId="11" xfId="0" applyNumberFormat="1" applyFont="1" applyFill="1" applyBorder="1" applyAlignment="1" applyProtection="1">
      <alignment horizontal="center" vertical="center" wrapText="1"/>
      <protection hidden="1"/>
    </xf>
    <xf numFmtId="9" fontId="7" fillId="19" borderId="39" xfId="1" applyFont="1" applyFill="1" applyBorder="1" applyAlignment="1" applyProtection="1">
      <alignment horizontal="center" vertical="center"/>
      <protection hidden="1"/>
    </xf>
    <xf numFmtId="9" fontId="7" fillId="19" borderId="42" xfId="1" applyFont="1" applyFill="1" applyBorder="1" applyAlignment="1" applyProtection="1">
      <alignment horizontal="center" vertical="center"/>
      <protection hidden="1"/>
    </xf>
    <xf numFmtId="9" fontId="7" fillId="19" borderId="12" xfId="1" applyFont="1" applyFill="1" applyBorder="1" applyAlignment="1" applyProtection="1">
      <alignment horizontal="center" vertical="center"/>
      <protection hidden="1"/>
    </xf>
    <xf numFmtId="9" fontId="7" fillId="19" borderId="35" xfId="1" applyFont="1" applyFill="1" applyBorder="1" applyAlignment="1" applyProtection="1">
      <alignment horizontal="center" vertical="center"/>
      <protection hidden="1"/>
    </xf>
    <xf numFmtId="2" fontId="31" fillId="19" borderId="16" xfId="0" applyNumberFormat="1" applyFont="1" applyFill="1" applyBorder="1" applyAlignment="1" applyProtection="1">
      <alignment horizontal="center" vertical="center" wrapText="1"/>
      <protection hidden="1"/>
    </xf>
    <xf numFmtId="1" fontId="7" fillId="9" borderId="43" xfId="0" applyNumberFormat="1" applyFont="1" applyFill="1" applyBorder="1" applyAlignment="1" applyProtection="1">
      <alignment horizontal="center" vertical="center"/>
      <protection hidden="1"/>
    </xf>
    <xf numFmtId="1" fontId="7" fillId="9" borderId="44" xfId="0" applyNumberFormat="1" applyFont="1" applyFill="1" applyBorder="1" applyAlignment="1" applyProtection="1">
      <alignment horizontal="center" vertical="center"/>
      <protection hidden="1"/>
    </xf>
    <xf numFmtId="2" fontId="7" fillId="6" borderId="11" xfId="0" applyNumberFormat="1" applyFont="1" applyFill="1" applyBorder="1" applyAlignment="1" applyProtection="1">
      <alignment horizontal="center" vertical="center"/>
      <protection hidden="1"/>
    </xf>
    <xf numFmtId="0" fontId="7" fillId="9" borderId="48" xfId="0" applyFont="1" applyFill="1" applyBorder="1" applyAlignment="1" applyProtection="1">
      <alignment horizontal="center" vertical="center"/>
      <protection hidden="1"/>
    </xf>
    <xf numFmtId="0" fontId="7" fillId="9" borderId="49" xfId="0" applyFont="1" applyFill="1" applyBorder="1" applyAlignment="1" applyProtection="1">
      <alignment horizontal="center" vertical="center"/>
      <protection hidden="1"/>
    </xf>
    <xf numFmtId="0" fontId="7" fillId="9" borderId="50" xfId="0" applyFont="1" applyFill="1" applyBorder="1" applyAlignment="1" applyProtection="1">
      <alignment horizontal="center" vertical="center"/>
      <protection hidden="1"/>
    </xf>
    <xf numFmtId="2" fontId="7" fillId="6" borderId="10" xfId="0" applyNumberFormat="1" applyFont="1" applyFill="1" applyBorder="1" applyAlignment="1" applyProtection="1">
      <alignment horizontal="center" vertical="center"/>
      <protection hidden="1"/>
    </xf>
    <xf numFmtId="2" fontId="5" fillId="6" borderId="10" xfId="0" applyNumberFormat="1" applyFont="1" applyFill="1" applyBorder="1" applyAlignment="1" applyProtection="1">
      <alignment horizontal="center" vertical="center" wrapText="1"/>
      <protection hidden="1"/>
    </xf>
    <xf numFmtId="1" fontId="9" fillId="26" borderId="16" xfId="3" applyNumberFormat="1" applyFont="1" applyFill="1" applyBorder="1" applyAlignment="1" applyProtection="1">
      <alignment horizontal="center" vertical="center" wrapText="1"/>
      <protection locked="0" hidden="1"/>
    </xf>
    <xf numFmtId="0" fontId="30" fillId="0" borderId="0" xfId="0" applyFont="1" applyAlignment="1" applyProtection="1">
      <alignment horizontal="center"/>
      <protection hidden="1"/>
    </xf>
    <xf numFmtId="0" fontId="30" fillId="0" borderId="0" xfId="0" applyFont="1" applyAlignment="1" applyProtection="1">
      <alignment horizontal="center" vertical="justify" wrapText="1"/>
      <protection hidden="1"/>
    </xf>
    <xf numFmtId="0" fontId="30" fillId="2" borderId="0" xfId="0" applyFont="1" applyFill="1" applyBorder="1" applyAlignment="1" applyProtection="1">
      <alignment horizontal="left" vertical="center" wrapText="1"/>
      <protection hidden="1"/>
    </xf>
    <xf numFmtId="0" fontId="27" fillId="2" borderId="0" xfId="0" applyFont="1" applyFill="1" applyBorder="1" applyAlignment="1" applyProtection="1">
      <alignment horizontal="left" vertical="center" wrapText="1"/>
      <protection hidden="1"/>
    </xf>
    <xf numFmtId="14" fontId="30" fillId="2" borderId="0" xfId="0" applyNumberFormat="1" applyFont="1" applyFill="1" applyBorder="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xf numFmtId="0" fontId="27" fillId="2" borderId="0" xfId="0" applyFont="1" applyFill="1" applyAlignment="1" applyProtection="1">
      <alignment horizontal="left" vertical="center" wrapText="1"/>
      <protection hidden="1"/>
    </xf>
    <xf numFmtId="2" fontId="27" fillId="2" borderId="0" xfId="0" applyNumberFormat="1" applyFont="1" applyFill="1" applyAlignment="1" applyProtection="1">
      <alignment horizontal="right" vertical="center"/>
      <protection hidden="1"/>
    </xf>
    <xf numFmtId="0" fontId="30" fillId="2" borderId="0" xfId="0" applyFont="1" applyFill="1" applyBorder="1" applyAlignment="1" applyProtection="1">
      <alignment horizontal="right" vertical="center" wrapText="1"/>
      <protection hidden="1"/>
    </xf>
    <xf numFmtId="0" fontId="27" fillId="0" borderId="0" xfId="0" applyFont="1" applyFill="1" applyBorder="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169" fontId="30" fillId="0" borderId="0" xfId="0" applyNumberFormat="1" applyFont="1" applyBorder="1" applyAlignment="1" applyProtection="1">
      <alignment horizontal="center" vertical="center" wrapText="1"/>
      <protection hidden="1"/>
    </xf>
    <xf numFmtId="0" fontId="30" fillId="0" borderId="0" xfId="0" applyFont="1" applyAlignment="1" applyProtection="1">
      <alignment horizontal="center" vertical="center" wrapText="1"/>
      <protection hidden="1"/>
    </xf>
    <xf numFmtId="0" fontId="27" fillId="0" borderId="0" xfId="0" applyFont="1" applyAlignment="1" applyProtection="1">
      <alignment horizontal="center" vertical="center" wrapText="1"/>
      <protection hidden="1"/>
    </xf>
    <xf numFmtId="0" fontId="30" fillId="0" borderId="0" xfId="0" applyFont="1" applyBorder="1" applyAlignment="1" applyProtection="1">
      <alignment horizontal="center"/>
      <protection hidden="1"/>
    </xf>
    <xf numFmtId="0" fontId="30" fillId="2" borderId="0" xfId="0" applyFont="1" applyFill="1" applyAlignment="1" applyProtection="1">
      <alignment horizontal="justify" vertical="center" wrapText="1"/>
      <protection locked="0" hidden="1"/>
    </xf>
    <xf numFmtId="2" fontId="27" fillId="19" borderId="35" xfId="0" applyNumberFormat="1" applyFont="1" applyFill="1" applyBorder="1" applyAlignment="1" applyProtection="1">
      <alignment horizontal="center" vertical="center" wrapText="1"/>
      <protection hidden="1"/>
    </xf>
    <xf numFmtId="2" fontId="27" fillId="19" borderId="35" xfId="0" applyNumberFormat="1" applyFont="1" applyFill="1" applyBorder="1" applyAlignment="1" applyProtection="1">
      <alignment vertical="center" wrapText="1"/>
      <protection hidden="1"/>
    </xf>
    <xf numFmtId="169" fontId="49" fillId="2" borderId="43" xfId="0" applyNumberFormat="1" applyFont="1" applyFill="1" applyBorder="1" applyAlignment="1" applyProtection="1">
      <alignment horizontal="center" vertical="center" wrapText="1"/>
      <protection hidden="1"/>
    </xf>
    <xf numFmtId="2" fontId="49" fillId="2" borderId="20" xfId="0" applyNumberFormat="1" applyFont="1" applyFill="1" applyBorder="1" applyAlignment="1" applyProtection="1">
      <alignment horizontal="center" vertical="center" wrapText="1"/>
      <protection hidden="1"/>
    </xf>
    <xf numFmtId="1" fontId="49" fillId="2" borderId="44" xfId="0" applyNumberFormat="1" applyFont="1" applyFill="1" applyBorder="1" applyAlignment="1" applyProtection="1">
      <alignment horizontal="center" vertical="center" wrapText="1"/>
      <protection hidden="1"/>
    </xf>
    <xf numFmtId="169" fontId="49" fillId="2" borderId="7" xfId="0" applyNumberFormat="1" applyFont="1" applyFill="1" applyBorder="1" applyAlignment="1" applyProtection="1">
      <alignment horizontal="center" vertical="center" wrapText="1"/>
      <protection hidden="1"/>
    </xf>
    <xf numFmtId="195" fontId="49" fillId="2" borderId="8" xfId="0" applyNumberFormat="1" applyFont="1" applyFill="1" applyBorder="1" applyAlignment="1" applyProtection="1">
      <alignment horizontal="center" vertical="center" wrapText="1"/>
      <protection hidden="1"/>
    </xf>
    <xf numFmtId="1" fontId="49" fillId="2" borderId="12" xfId="0" applyNumberFormat="1" applyFont="1" applyFill="1" applyBorder="1" applyAlignment="1" applyProtection="1">
      <alignment horizontal="center" vertical="center" wrapText="1"/>
      <protection hidden="1"/>
    </xf>
    <xf numFmtId="2" fontId="8" fillId="19" borderId="9" xfId="0" applyNumberFormat="1" applyFont="1" applyFill="1" applyBorder="1" applyAlignment="1" applyProtection="1">
      <alignment horizontal="center" vertical="center" wrapText="1"/>
      <protection hidden="1"/>
    </xf>
    <xf numFmtId="2" fontId="30" fillId="13" borderId="0" xfId="3" applyFont="1" applyBorder="1" applyAlignment="1">
      <alignment horizontal="center" vertical="center" wrapText="1"/>
      <protection locked="0"/>
    </xf>
    <xf numFmtId="0" fontId="48" fillId="0" borderId="0" xfId="0" applyFont="1" applyBorder="1" applyAlignment="1" applyProtection="1">
      <alignment horizontal="center" vertical="center" wrapText="1"/>
      <protection hidden="1"/>
    </xf>
    <xf numFmtId="0" fontId="48" fillId="0" borderId="0" xfId="0" applyFont="1" applyAlignment="1" applyProtection="1">
      <alignment horizontal="center" vertical="center" wrapText="1"/>
      <protection hidden="1"/>
    </xf>
    <xf numFmtId="1" fontId="48" fillId="0" borderId="0" xfId="0" applyNumberFormat="1" applyFont="1" applyBorder="1" applyAlignment="1" applyProtection="1">
      <alignment horizontal="center" vertical="center" wrapText="1"/>
      <protection hidden="1"/>
    </xf>
    <xf numFmtId="2" fontId="17" fillId="2" borderId="11" xfId="0" applyNumberFormat="1" applyFont="1" applyFill="1" applyBorder="1" applyAlignment="1" applyProtection="1">
      <alignment horizontal="center" vertical="center" wrapText="1"/>
      <protection hidden="1"/>
    </xf>
    <xf numFmtId="171" fontId="30" fillId="2" borderId="44" xfId="0" applyNumberFormat="1" applyFont="1" applyFill="1" applyBorder="1" applyAlignment="1" applyProtection="1">
      <alignment horizontal="center" vertical="center"/>
      <protection hidden="1"/>
    </xf>
    <xf numFmtId="164" fontId="30" fillId="2" borderId="42" xfId="0" applyNumberFormat="1" applyFont="1" applyFill="1" applyBorder="1" applyAlignment="1" applyProtection="1">
      <alignment horizontal="center" vertical="center"/>
      <protection hidden="1"/>
    </xf>
    <xf numFmtId="164" fontId="30" fillId="2" borderId="12" xfId="0" applyNumberFormat="1" applyFont="1" applyFill="1" applyBorder="1" applyAlignment="1" applyProtection="1">
      <alignment horizontal="center" vertical="center"/>
      <protection hidden="1"/>
    </xf>
    <xf numFmtId="2" fontId="52" fillId="19" borderId="15" xfId="0" applyNumberFormat="1" applyFont="1" applyFill="1" applyBorder="1" applyAlignment="1" applyProtection="1">
      <alignment horizontal="center" vertical="center" wrapText="1"/>
      <protection hidden="1"/>
    </xf>
    <xf numFmtId="0" fontId="52" fillId="19" borderId="15" xfId="0" applyFont="1" applyFill="1" applyBorder="1" applyAlignment="1" applyProtection="1">
      <alignment horizontal="center" vertical="center" wrapText="1"/>
      <protection hidden="1"/>
    </xf>
    <xf numFmtId="170" fontId="52" fillId="19" borderId="15" xfId="0" applyNumberFormat="1" applyFont="1" applyFill="1" applyBorder="1" applyAlignment="1" applyProtection="1">
      <alignment horizontal="center" vertical="center" wrapText="1"/>
      <protection hidden="1"/>
    </xf>
    <xf numFmtId="170" fontId="52" fillId="19" borderId="16" xfId="0" applyNumberFormat="1" applyFont="1" applyFill="1" applyBorder="1" applyAlignment="1" applyProtection="1">
      <alignment horizontal="left" vertical="center" wrapText="1"/>
      <protection hidden="1"/>
    </xf>
    <xf numFmtId="0" fontId="27" fillId="0" borderId="0" xfId="0" applyFont="1" applyAlignment="1" applyProtection="1">
      <alignment horizontal="center" vertical="center" wrapText="1"/>
      <protection hidden="1"/>
    </xf>
    <xf numFmtId="0" fontId="30" fillId="0" borderId="0" xfId="0" applyFont="1" applyAlignment="1" applyProtection="1">
      <alignment horizontal="center" vertical="center" wrapText="1"/>
      <protection hidden="1"/>
    </xf>
    <xf numFmtId="0" fontId="30" fillId="2" borderId="0" xfId="0" applyFont="1" applyFill="1" applyAlignment="1" applyProtection="1">
      <alignment horizontal="justify" vertical="center" wrapText="1"/>
      <protection locked="0" hidden="1"/>
    </xf>
    <xf numFmtId="0" fontId="30" fillId="2" borderId="0" xfId="0" applyFont="1" applyFill="1" applyAlignment="1" applyProtection="1">
      <alignment horizontal="justify" vertical="center" wrapText="1"/>
      <protection hidden="1"/>
    </xf>
    <xf numFmtId="0" fontId="30" fillId="0" borderId="0" xfId="0" applyFont="1" applyBorder="1" applyAlignment="1" applyProtection="1">
      <alignment horizontal="center"/>
      <protection hidden="1"/>
    </xf>
    <xf numFmtId="0" fontId="27" fillId="0" borderId="0" xfId="0" applyFont="1" applyAlignment="1" applyProtection="1">
      <alignment horizontal="left" vertical="center" wrapText="1"/>
      <protection hidden="1"/>
    </xf>
    <xf numFmtId="2" fontId="27" fillId="2" borderId="0" xfId="0" applyNumberFormat="1" applyFont="1" applyFill="1" applyAlignment="1" applyProtection="1">
      <alignment horizontal="right" vertical="center"/>
      <protection hidden="1"/>
    </xf>
    <xf numFmtId="0" fontId="27" fillId="2" borderId="0" xfId="0" applyFont="1" applyFill="1" applyBorder="1" applyAlignment="1" applyProtection="1">
      <alignment horizontal="left" vertical="center" wrapText="1"/>
      <protection hidden="1"/>
    </xf>
    <xf numFmtId="0" fontId="30" fillId="0" borderId="0" xfId="0" applyFont="1" applyAlignment="1" applyProtection="1">
      <alignment horizontal="center"/>
      <protection hidden="1"/>
    </xf>
    <xf numFmtId="0" fontId="27" fillId="2" borderId="0" xfId="0" applyFont="1" applyFill="1" applyAlignment="1" applyProtection="1">
      <alignment horizontal="left" vertical="center" wrapText="1"/>
      <protection hidden="1"/>
    </xf>
    <xf numFmtId="169" fontId="30" fillId="0" borderId="0" xfId="0" applyNumberFormat="1" applyFont="1" applyBorder="1" applyAlignment="1" applyProtection="1">
      <alignment horizontal="center" vertical="center" wrapText="1"/>
      <protection hidden="1"/>
    </xf>
    <xf numFmtId="0" fontId="27" fillId="0" borderId="0" xfId="0" applyFont="1" applyFill="1" applyBorder="1" applyAlignment="1" applyProtection="1">
      <alignment horizontal="left" vertical="center" wrapText="1"/>
      <protection hidden="1"/>
    </xf>
    <xf numFmtId="14" fontId="30" fillId="2" borderId="0" xfId="0" applyNumberFormat="1" applyFont="1" applyFill="1" applyBorder="1" applyAlignment="1" applyProtection="1">
      <alignment horizontal="justify" vertical="center" wrapText="1"/>
      <protection hidden="1"/>
    </xf>
    <xf numFmtId="0" fontId="30" fillId="2" borderId="0" xfId="0" applyFont="1" applyFill="1" applyBorder="1" applyAlignment="1" applyProtection="1">
      <alignment horizontal="justify" vertical="center" wrapText="1"/>
      <protection hidden="1"/>
    </xf>
    <xf numFmtId="0" fontId="30" fillId="2" borderId="0" xfId="0" applyFont="1" applyFill="1" applyBorder="1" applyAlignment="1" applyProtection="1">
      <alignment horizontal="left" vertical="center" wrapText="1"/>
      <protection hidden="1"/>
    </xf>
    <xf numFmtId="14" fontId="30" fillId="2" borderId="0" xfId="0" applyNumberFormat="1" applyFont="1" applyFill="1" applyBorder="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xf numFmtId="0" fontId="30" fillId="2" borderId="0" xfId="0" applyFont="1" applyFill="1" applyBorder="1" applyAlignment="1" applyProtection="1">
      <alignment horizontal="right" vertical="center" wrapText="1"/>
      <protection hidden="1"/>
    </xf>
    <xf numFmtId="0" fontId="30" fillId="0" borderId="0" xfId="0" applyFont="1" applyAlignment="1" applyProtection="1">
      <alignment horizontal="center" vertical="justify" wrapText="1"/>
      <protection hidden="1"/>
    </xf>
    <xf numFmtId="0" fontId="30" fillId="19" borderId="39" xfId="0" applyFont="1" applyFill="1" applyBorder="1" applyAlignment="1" applyProtection="1">
      <alignment horizontal="center" vertical="center" wrapText="1"/>
      <protection hidden="1"/>
    </xf>
    <xf numFmtId="0" fontId="30" fillId="19" borderId="42" xfId="0" applyFont="1" applyFill="1" applyBorder="1" applyAlignment="1" applyProtection="1">
      <alignment horizontal="center" vertical="center" wrapText="1"/>
      <protection hidden="1"/>
    </xf>
    <xf numFmtId="0" fontId="30" fillId="19" borderId="12" xfId="0" applyFont="1" applyFill="1" applyBorder="1" applyAlignment="1" applyProtection="1">
      <alignment horizontal="center" vertical="center" wrapText="1"/>
      <protection hidden="1"/>
    </xf>
    <xf numFmtId="0" fontId="28" fillId="12" borderId="14" xfId="0" applyFont="1" applyFill="1" applyBorder="1" applyAlignment="1" applyProtection="1">
      <alignment horizontal="center" vertical="center"/>
      <protection hidden="1"/>
    </xf>
    <xf numFmtId="0" fontId="28" fillId="12" borderId="15" xfId="0" applyFont="1" applyFill="1" applyBorder="1" applyAlignment="1" applyProtection="1">
      <alignment horizontal="center" vertical="center"/>
      <protection hidden="1"/>
    </xf>
    <xf numFmtId="0" fontId="28" fillId="12" borderId="16" xfId="0" applyFont="1" applyFill="1" applyBorder="1" applyAlignment="1" applyProtection="1">
      <alignment horizontal="center" vertical="center"/>
      <protection hidden="1"/>
    </xf>
    <xf numFmtId="0" fontId="27" fillId="6" borderId="14" xfId="0" applyFont="1" applyFill="1" applyBorder="1" applyAlignment="1" applyProtection="1">
      <alignment horizontal="center" vertical="center"/>
      <protection hidden="1"/>
    </xf>
    <xf numFmtId="0" fontId="27" fillId="6" borderId="15" xfId="0" applyFont="1" applyFill="1" applyBorder="1" applyAlignment="1" applyProtection="1">
      <alignment horizontal="center" vertical="center"/>
      <protection hidden="1"/>
    </xf>
    <xf numFmtId="0" fontId="27" fillId="6" borderId="16" xfId="0" applyFont="1" applyFill="1" applyBorder="1" applyAlignment="1" applyProtection="1">
      <alignment horizontal="center" vertical="center"/>
      <protection hidden="1"/>
    </xf>
    <xf numFmtId="0" fontId="6" fillId="6" borderId="39" xfId="0" applyFont="1" applyFill="1" applyBorder="1" applyAlignment="1" applyProtection="1">
      <alignment horizontal="center" vertical="center" wrapText="1"/>
      <protection hidden="1"/>
    </xf>
    <xf numFmtId="0" fontId="6" fillId="6" borderId="12" xfId="0" applyFont="1" applyFill="1" applyBorder="1" applyAlignment="1" applyProtection="1">
      <alignment horizontal="center" vertical="center" wrapText="1"/>
      <protection hidden="1"/>
    </xf>
    <xf numFmtId="3" fontId="29" fillId="17" borderId="45" xfId="0" applyNumberFormat="1" applyFont="1" applyFill="1" applyBorder="1" applyAlignment="1" applyProtection="1">
      <alignment horizontal="center" vertical="center" wrapText="1"/>
      <protection hidden="1"/>
    </xf>
    <xf numFmtId="0" fontId="0" fillId="0" borderId="48" xfId="0" applyBorder="1" applyAlignment="1" applyProtection="1">
      <alignment horizontal="center" vertical="center" wrapText="1"/>
      <protection hidden="1"/>
    </xf>
    <xf numFmtId="3" fontId="29" fillId="20" borderId="45" xfId="0" applyNumberFormat="1" applyFont="1" applyFill="1" applyBorder="1" applyAlignment="1" applyProtection="1">
      <alignment horizontal="center" vertical="center" wrapText="1"/>
      <protection hidden="1"/>
    </xf>
    <xf numFmtId="0" fontId="0" fillId="20" borderId="48" xfId="0" applyFill="1" applyBorder="1" applyAlignment="1" applyProtection="1">
      <alignment horizontal="center" vertical="center" wrapText="1"/>
      <protection hidden="1"/>
    </xf>
    <xf numFmtId="3" fontId="29" fillId="21" borderId="54" xfId="0" applyNumberFormat="1" applyFont="1" applyFill="1" applyBorder="1" applyAlignment="1" applyProtection="1">
      <alignment horizontal="center" vertical="center" wrapText="1"/>
      <protection hidden="1"/>
    </xf>
    <xf numFmtId="0" fontId="0" fillId="21" borderId="30" xfId="0" applyFill="1" applyBorder="1" applyAlignment="1" applyProtection="1">
      <alignment horizontal="center" vertical="center" wrapText="1"/>
      <protection hidden="1"/>
    </xf>
    <xf numFmtId="0" fontId="0" fillId="21" borderId="55" xfId="0" applyFill="1" applyBorder="1" applyAlignment="1" applyProtection="1">
      <alignment horizontal="center" vertical="center" wrapText="1"/>
      <protection hidden="1"/>
    </xf>
    <xf numFmtId="3" fontId="29" fillId="19" borderId="3" xfId="0" applyNumberFormat="1" applyFont="1" applyFill="1" applyBorder="1" applyAlignment="1" applyProtection="1">
      <alignment horizontal="center" vertical="center" wrapText="1"/>
      <protection hidden="1"/>
    </xf>
    <xf numFmtId="0" fontId="0" fillId="19" borderId="3" xfId="0" applyFill="1" applyBorder="1" applyAlignment="1" applyProtection="1">
      <alignment horizontal="center" vertical="center" wrapText="1"/>
      <protection hidden="1"/>
    </xf>
    <xf numFmtId="0" fontId="0" fillId="19" borderId="13" xfId="0" applyFill="1" applyBorder="1" applyAlignment="1" applyProtection="1">
      <alignment horizontal="center" vertical="center" wrapText="1"/>
      <protection hidden="1"/>
    </xf>
    <xf numFmtId="168" fontId="29" fillId="19" borderId="1" xfId="0" applyNumberFormat="1" applyFont="1" applyFill="1" applyBorder="1" applyAlignment="1" applyProtection="1">
      <alignment horizontal="center" vertical="center" wrapText="1"/>
      <protection hidden="1"/>
    </xf>
    <xf numFmtId="0" fontId="0" fillId="19" borderId="1" xfId="0" applyFill="1" applyBorder="1" applyAlignment="1" applyProtection="1">
      <alignment horizontal="center" vertical="center" wrapText="1"/>
      <protection hidden="1"/>
    </xf>
    <xf numFmtId="0" fontId="0" fillId="19" borderId="8" xfId="0" applyFill="1" applyBorder="1" applyAlignment="1" applyProtection="1">
      <alignment horizontal="center" vertical="center" wrapText="1"/>
      <protection hidden="1"/>
    </xf>
    <xf numFmtId="14" fontId="29" fillId="19" borderId="42" xfId="0" applyNumberFormat="1" applyFont="1" applyFill="1" applyBorder="1" applyAlignment="1" applyProtection="1">
      <alignment horizontal="center" vertical="center" wrapText="1"/>
      <protection hidden="1"/>
    </xf>
    <xf numFmtId="0" fontId="0" fillId="19" borderId="42" xfId="0" applyFill="1" applyBorder="1" applyAlignment="1" applyProtection="1">
      <alignment horizontal="center" vertical="center" wrapText="1"/>
      <protection hidden="1"/>
    </xf>
    <xf numFmtId="0" fontId="0" fillId="19" borderId="12" xfId="0" applyFill="1" applyBorder="1" applyAlignment="1" applyProtection="1">
      <alignment horizontal="center" vertical="center" wrapText="1"/>
      <protection hidden="1"/>
    </xf>
    <xf numFmtId="49" fontId="29" fillId="21" borderId="54" xfId="0" applyNumberFormat="1" applyFont="1" applyFill="1" applyBorder="1" applyAlignment="1" applyProtection="1">
      <alignment horizontal="center" vertical="center" wrapText="1"/>
      <protection hidden="1"/>
    </xf>
    <xf numFmtId="0" fontId="26" fillId="12" borderId="22" xfId="0" applyFont="1" applyFill="1" applyBorder="1" applyAlignment="1" applyProtection="1">
      <alignment horizontal="center" vertical="center"/>
      <protection hidden="1"/>
    </xf>
    <xf numFmtId="0" fontId="26" fillId="12" borderId="31" xfId="0" applyFont="1" applyFill="1" applyBorder="1" applyAlignment="1" applyProtection="1">
      <alignment horizontal="center" vertical="center"/>
      <protection hidden="1"/>
    </xf>
    <xf numFmtId="0" fontId="26" fillId="12" borderId="23" xfId="0" applyFont="1" applyFill="1" applyBorder="1" applyAlignment="1" applyProtection="1">
      <alignment horizontal="center" vertical="center"/>
      <protection hidden="1"/>
    </xf>
    <xf numFmtId="0" fontId="26" fillId="12" borderId="21" xfId="0" applyFont="1" applyFill="1" applyBorder="1" applyAlignment="1" applyProtection="1">
      <alignment horizontal="center" vertical="center"/>
      <protection hidden="1"/>
    </xf>
    <xf numFmtId="0" fontId="26" fillId="12" borderId="40" xfId="0" applyFont="1" applyFill="1" applyBorder="1" applyAlignment="1" applyProtection="1">
      <alignment horizontal="center" vertical="center"/>
      <protection hidden="1"/>
    </xf>
    <xf numFmtId="0" fontId="26" fillId="12" borderId="6" xfId="0" applyFont="1" applyFill="1" applyBorder="1" applyAlignment="1" applyProtection="1">
      <alignment horizontal="center" vertical="center"/>
      <protection hidden="1"/>
    </xf>
    <xf numFmtId="0" fontId="26" fillId="12" borderId="14" xfId="0" applyFont="1" applyFill="1" applyBorder="1" applyAlignment="1" applyProtection="1">
      <alignment horizontal="center" vertical="center"/>
      <protection hidden="1"/>
    </xf>
    <xf numFmtId="0" fontId="26" fillId="12" borderId="15" xfId="0" applyFont="1" applyFill="1" applyBorder="1" applyAlignment="1" applyProtection="1">
      <alignment horizontal="center" vertical="center"/>
      <protection hidden="1"/>
    </xf>
    <xf numFmtId="0" fontId="26" fillId="12" borderId="16" xfId="0" applyFont="1" applyFill="1" applyBorder="1" applyAlignment="1" applyProtection="1">
      <alignment horizontal="center" vertical="center"/>
      <protection hidden="1"/>
    </xf>
    <xf numFmtId="0" fontId="17" fillId="6" borderId="43" xfId="0" applyFont="1" applyFill="1" applyBorder="1" applyAlignment="1" applyProtection="1">
      <alignment horizontal="center" vertical="center" wrapText="1"/>
      <protection hidden="1"/>
    </xf>
    <xf numFmtId="0" fontId="17" fillId="6" borderId="45" xfId="0" applyFont="1" applyFill="1" applyBorder="1" applyAlignment="1" applyProtection="1">
      <alignment horizontal="center" vertical="center" wrapText="1"/>
      <protection hidden="1"/>
    </xf>
    <xf numFmtId="0" fontId="17" fillId="6" borderId="20" xfId="0" applyFont="1" applyFill="1" applyBorder="1" applyAlignment="1" applyProtection="1">
      <alignment horizontal="center" vertical="center" wrapText="1"/>
      <protection hidden="1"/>
    </xf>
    <xf numFmtId="0" fontId="17" fillId="6" borderId="32" xfId="0" applyFont="1" applyFill="1" applyBorder="1" applyAlignment="1" applyProtection="1">
      <alignment horizontal="center" vertical="center" wrapText="1"/>
      <protection hidden="1"/>
    </xf>
    <xf numFmtId="168" fontId="30" fillId="19" borderId="51" xfId="0" applyNumberFormat="1" applyFont="1" applyFill="1" applyBorder="1" applyAlignment="1" applyProtection="1">
      <alignment horizontal="center" vertical="center" wrapText="1"/>
    </xf>
    <xf numFmtId="168" fontId="30" fillId="19" borderId="26" xfId="0" applyNumberFormat="1" applyFont="1" applyFill="1" applyBorder="1" applyAlignment="1" applyProtection="1">
      <alignment horizontal="center" vertical="center" wrapText="1"/>
    </xf>
    <xf numFmtId="168" fontId="30" fillId="19" borderId="49" xfId="0" applyNumberFormat="1" applyFont="1" applyFill="1" applyBorder="1" applyAlignment="1" applyProtection="1">
      <alignment horizontal="center" vertical="center" wrapText="1"/>
    </xf>
    <xf numFmtId="0" fontId="31" fillId="18" borderId="41" xfId="0" applyFont="1" applyFill="1" applyBorder="1" applyAlignment="1" applyProtection="1">
      <alignment horizontal="center" vertical="center"/>
      <protection hidden="1"/>
    </xf>
    <xf numFmtId="0" fontId="31" fillId="18" borderId="1" xfId="0" applyFont="1" applyFill="1" applyBorder="1" applyAlignment="1" applyProtection="1">
      <alignment horizontal="center" vertical="center"/>
      <protection hidden="1"/>
    </xf>
    <xf numFmtId="0" fontId="29" fillId="19" borderId="3" xfId="0" applyFont="1" applyFill="1" applyBorder="1" applyAlignment="1" applyProtection="1">
      <alignment horizontal="center" vertical="center" wrapText="1"/>
      <protection hidden="1"/>
    </xf>
    <xf numFmtId="0" fontId="29" fillId="19" borderId="42" xfId="0" applyFont="1" applyFill="1" applyBorder="1" applyAlignment="1" applyProtection="1">
      <alignment horizontal="center" vertical="center" wrapText="1"/>
      <protection hidden="1"/>
    </xf>
    <xf numFmtId="0" fontId="27" fillId="18" borderId="4" xfId="0" applyFont="1" applyFill="1" applyBorder="1" applyAlignment="1" applyProtection="1">
      <alignment horizontal="center" vertical="center"/>
      <protection hidden="1"/>
    </xf>
    <xf numFmtId="0" fontId="30" fillId="18" borderId="5" xfId="0" applyFont="1" applyFill="1" applyBorder="1" applyAlignment="1" applyProtection="1">
      <alignment horizontal="center" vertical="center"/>
      <protection hidden="1"/>
    </xf>
    <xf numFmtId="0" fontId="30" fillId="18" borderId="41" xfId="0" applyFont="1" applyFill="1" applyBorder="1" applyAlignment="1" applyProtection="1">
      <alignment horizontal="center" vertical="center"/>
      <protection hidden="1"/>
    </xf>
    <xf numFmtId="0" fontId="30" fillId="18" borderId="1" xfId="0" applyFont="1" applyFill="1" applyBorder="1" applyAlignment="1" applyProtection="1">
      <alignment horizontal="center" vertical="center"/>
      <protection hidden="1"/>
    </xf>
    <xf numFmtId="0" fontId="30" fillId="18" borderId="8" xfId="0" applyFont="1" applyFill="1" applyBorder="1" applyAlignment="1" applyProtection="1">
      <alignment horizontal="center" vertical="center"/>
      <protection hidden="1"/>
    </xf>
    <xf numFmtId="0" fontId="29" fillId="19" borderId="64" xfId="0" applyFont="1" applyFill="1" applyBorder="1" applyAlignment="1" applyProtection="1">
      <alignment horizontal="center" vertical="center" wrapText="1"/>
      <protection hidden="1"/>
    </xf>
    <xf numFmtId="168" fontId="29" fillId="19" borderId="5" xfId="0" applyNumberFormat="1" applyFont="1" applyFill="1" applyBorder="1" applyAlignment="1" applyProtection="1">
      <alignment horizontal="center" vertical="center" wrapText="1"/>
      <protection hidden="1"/>
    </xf>
    <xf numFmtId="0" fontId="31" fillId="18" borderId="7" xfId="0" applyFont="1" applyFill="1" applyBorder="1" applyAlignment="1" applyProtection="1">
      <alignment horizontal="center" vertical="center"/>
      <protection hidden="1"/>
    </xf>
    <xf numFmtId="0" fontId="31" fillId="18" borderId="8" xfId="0" applyFont="1" applyFill="1" applyBorder="1" applyAlignment="1" applyProtection="1">
      <alignment horizontal="center" vertical="center"/>
      <protection hidden="1"/>
    </xf>
    <xf numFmtId="1" fontId="29" fillId="19" borderId="3" xfId="0" applyNumberFormat="1" applyFont="1" applyFill="1" applyBorder="1" applyAlignment="1" applyProtection="1">
      <alignment horizontal="center" vertical="center" wrapText="1"/>
      <protection hidden="1"/>
    </xf>
    <xf numFmtId="1" fontId="0" fillId="19" borderId="3" xfId="0" applyNumberFormat="1" applyFill="1" applyBorder="1" applyAlignment="1" applyProtection="1">
      <alignment horizontal="center" vertical="center" wrapText="1"/>
      <protection hidden="1"/>
    </xf>
    <xf numFmtId="1" fontId="0" fillId="19" borderId="13" xfId="0" applyNumberFormat="1" applyFill="1" applyBorder="1" applyAlignment="1" applyProtection="1">
      <alignment horizontal="center" vertical="center" wrapText="1"/>
      <protection hidden="1"/>
    </xf>
    <xf numFmtId="0" fontId="29" fillId="18" borderId="51" xfId="0" applyFont="1" applyFill="1"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168" fontId="29" fillId="19" borderId="42" xfId="0" applyNumberFormat="1" applyFont="1" applyFill="1" applyBorder="1" applyAlignment="1" applyProtection="1">
      <alignment horizontal="center" vertical="center" wrapText="1"/>
      <protection hidden="1"/>
    </xf>
    <xf numFmtId="0" fontId="29" fillId="19" borderId="39" xfId="0" applyFont="1" applyFill="1" applyBorder="1" applyAlignment="1" applyProtection="1">
      <alignment horizontal="center" vertical="center" wrapText="1"/>
      <protection hidden="1"/>
    </xf>
    <xf numFmtId="1" fontId="29" fillId="19" borderId="64" xfId="0" applyNumberFormat="1" applyFont="1" applyFill="1" applyBorder="1" applyAlignment="1" applyProtection="1">
      <alignment horizontal="center" vertical="center" wrapText="1"/>
      <protection hidden="1"/>
    </xf>
    <xf numFmtId="0" fontId="29" fillId="18" borderId="58" xfId="0" applyFont="1" applyFill="1" applyBorder="1" applyAlignment="1" applyProtection="1">
      <alignment horizontal="center" vertical="center" wrapText="1"/>
      <protection hidden="1"/>
    </xf>
    <xf numFmtId="0" fontId="29" fillId="18" borderId="53" xfId="0" applyFont="1" applyFill="1" applyBorder="1" applyAlignment="1" applyProtection="1">
      <alignment horizontal="center" vertical="center" wrapText="1"/>
      <protection hidden="1"/>
    </xf>
    <xf numFmtId="0" fontId="29" fillId="18" borderId="48" xfId="0" applyFont="1" applyFill="1" applyBorder="1" applyAlignment="1" applyProtection="1">
      <alignment horizontal="center" vertical="center" wrapText="1"/>
      <protection hidden="1"/>
    </xf>
    <xf numFmtId="0" fontId="31" fillId="18" borderId="22" xfId="0" applyFont="1" applyFill="1" applyBorder="1" applyAlignment="1" applyProtection="1">
      <alignment horizontal="center" vertical="center"/>
      <protection hidden="1"/>
    </xf>
    <xf numFmtId="0" fontId="31" fillId="18" borderId="31" xfId="0" applyFont="1" applyFill="1" applyBorder="1" applyAlignment="1" applyProtection="1">
      <alignment horizontal="center" vertical="center"/>
      <protection hidden="1"/>
    </xf>
    <xf numFmtId="0" fontId="31" fillId="18" borderId="24" xfId="0" applyFont="1" applyFill="1" applyBorder="1" applyAlignment="1" applyProtection="1">
      <alignment horizontal="center" vertical="center"/>
      <protection hidden="1"/>
    </xf>
    <xf numFmtId="0" fontId="31" fillId="18" borderId="0" xfId="0" applyFont="1" applyFill="1" applyBorder="1" applyAlignment="1" applyProtection="1">
      <alignment horizontal="center" vertical="center"/>
      <protection hidden="1"/>
    </xf>
    <xf numFmtId="0" fontId="31" fillId="18" borderId="21" xfId="0" applyFont="1" applyFill="1" applyBorder="1" applyAlignment="1" applyProtection="1">
      <alignment horizontal="center" vertical="center"/>
      <protection hidden="1"/>
    </xf>
    <xf numFmtId="0" fontId="31" fillId="18" borderId="40" xfId="0" applyFont="1" applyFill="1" applyBorder="1" applyAlignment="1" applyProtection="1">
      <alignment horizontal="center" vertical="center"/>
      <protection hidden="1"/>
    </xf>
    <xf numFmtId="0" fontId="27" fillId="18" borderId="22" xfId="0" applyFont="1" applyFill="1" applyBorder="1" applyAlignment="1" applyProtection="1">
      <alignment horizontal="center" vertical="center"/>
      <protection hidden="1"/>
    </xf>
    <xf numFmtId="0" fontId="27" fillId="18" borderId="31" xfId="0" applyFont="1" applyFill="1" applyBorder="1" applyAlignment="1" applyProtection="1">
      <alignment horizontal="center" vertical="center"/>
      <protection hidden="1"/>
    </xf>
    <xf numFmtId="0" fontId="27" fillId="18" borderId="24" xfId="0" applyFont="1" applyFill="1" applyBorder="1" applyAlignment="1" applyProtection="1">
      <alignment horizontal="center" vertical="center"/>
      <protection hidden="1"/>
    </xf>
    <xf numFmtId="0" fontId="27" fillId="18" borderId="0" xfId="0" applyFont="1" applyFill="1" applyBorder="1" applyAlignment="1" applyProtection="1">
      <alignment horizontal="center" vertical="center"/>
      <protection hidden="1"/>
    </xf>
    <xf numFmtId="0" fontId="27" fillId="18" borderId="21" xfId="0" applyFont="1" applyFill="1" applyBorder="1" applyAlignment="1" applyProtection="1">
      <alignment horizontal="center" vertical="center"/>
      <protection hidden="1"/>
    </xf>
    <xf numFmtId="0" fontId="27" fillId="18" borderId="40" xfId="0" applyFont="1" applyFill="1" applyBorder="1" applyAlignment="1" applyProtection="1">
      <alignment horizontal="center" vertical="center"/>
      <protection hidden="1"/>
    </xf>
    <xf numFmtId="0" fontId="31" fillId="18" borderId="23" xfId="0" applyFont="1" applyFill="1" applyBorder="1" applyAlignment="1" applyProtection="1">
      <alignment horizontal="center" vertical="center"/>
      <protection hidden="1"/>
    </xf>
    <xf numFmtId="0" fontId="31" fillId="18" borderId="38" xfId="0" applyFont="1" applyFill="1" applyBorder="1" applyAlignment="1" applyProtection="1">
      <alignment horizontal="center" vertical="center"/>
      <protection hidden="1"/>
    </xf>
    <xf numFmtId="0" fontId="31" fillId="18" borderId="6" xfId="0" applyFont="1" applyFill="1" applyBorder="1" applyAlignment="1" applyProtection="1">
      <alignment horizontal="center" vertical="center"/>
      <protection hidden="1"/>
    </xf>
    <xf numFmtId="0" fontId="27" fillId="18" borderId="22" xfId="0" applyFont="1" applyFill="1" applyBorder="1" applyAlignment="1" applyProtection="1">
      <alignment horizontal="center" vertical="center" wrapText="1"/>
      <protection hidden="1"/>
    </xf>
    <xf numFmtId="0" fontId="27" fillId="18" borderId="23" xfId="0" applyFont="1" applyFill="1" applyBorder="1" applyAlignment="1" applyProtection="1">
      <alignment horizontal="center" vertical="center" wrapText="1"/>
      <protection hidden="1"/>
    </xf>
    <xf numFmtId="0" fontId="27" fillId="18" borderId="24" xfId="0" applyFont="1" applyFill="1" applyBorder="1" applyAlignment="1" applyProtection="1">
      <alignment horizontal="center" vertical="center" wrapText="1"/>
      <protection hidden="1"/>
    </xf>
    <xf numFmtId="0" fontId="27" fillId="18" borderId="38" xfId="0" applyFont="1" applyFill="1" applyBorder="1" applyAlignment="1" applyProtection="1">
      <alignment horizontal="center" vertical="center" wrapText="1"/>
      <protection hidden="1"/>
    </xf>
    <xf numFmtId="0" fontId="27" fillId="18" borderId="21" xfId="0" applyFont="1" applyFill="1" applyBorder="1" applyAlignment="1" applyProtection="1">
      <alignment horizontal="center" vertical="center" wrapText="1"/>
      <protection hidden="1"/>
    </xf>
    <xf numFmtId="0" fontId="27" fillId="18" borderId="6" xfId="0" applyFont="1" applyFill="1" applyBorder="1" applyAlignment="1" applyProtection="1">
      <alignment horizontal="center" vertical="center" wrapText="1"/>
      <protection hidden="1"/>
    </xf>
    <xf numFmtId="0" fontId="30" fillId="18" borderId="51" xfId="0" applyFont="1" applyFill="1" applyBorder="1" applyAlignment="1" applyProtection="1">
      <alignment horizontal="center" vertical="center" wrapText="1"/>
      <protection hidden="1"/>
    </xf>
    <xf numFmtId="14" fontId="29" fillId="19" borderId="59" xfId="0" applyNumberFormat="1" applyFont="1" applyFill="1" applyBorder="1" applyAlignment="1" applyProtection="1">
      <alignment horizontal="center" vertical="center"/>
      <protection hidden="1"/>
    </xf>
    <xf numFmtId="14" fontId="29" fillId="19" borderId="52" xfId="0" applyNumberFormat="1" applyFont="1" applyFill="1" applyBorder="1" applyAlignment="1" applyProtection="1">
      <alignment horizontal="center" vertical="center"/>
      <protection hidden="1"/>
    </xf>
    <xf numFmtId="14" fontId="29" fillId="19" borderId="44" xfId="0" applyNumberFormat="1" applyFont="1" applyFill="1" applyBorder="1" applyAlignment="1" applyProtection="1">
      <alignment horizontal="center" vertical="center"/>
      <protection hidden="1"/>
    </xf>
    <xf numFmtId="14" fontId="29" fillId="19" borderId="46" xfId="0" applyNumberFormat="1" applyFont="1" applyFill="1" applyBorder="1" applyAlignment="1" applyProtection="1">
      <alignment horizontal="center" vertical="center"/>
      <protection hidden="1"/>
    </xf>
    <xf numFmtId="0" fontId="29" fillId="19" borderId="46" xfId="0" applyFont="1" applyFill="1" applyBorder="1" applyAlignment="1" applyProtection="1">
      <alignment horizontal="center" vertical="center"/>
      <protection hidden="1"/>
    </xf>
    <xf numFmtId="0" fontId="29" fillId="19" borderId="52" xfId="0" applyFont="1" applyFill="1" applyBorder="1" applyAlignment="1" applyProtection="1">
      <alignment horizontal="center" vertical="center"/>
      <protection hidden="1"/>
    </xf>
    <xf numFmtId="0" fontId="29" fillId="19" borderId="50" xfId="0" applyFont="1" applyFill="1" applyBorder="1" applyAlignment="1" applyProtection="1">
      <alignment horizontal="center" vertical="center"/>
      <protection hidden="1"/>
    </xf>
    <xf numFmtId="168" fontId="29" fillId="19" borderId="51" xfId="0" applyNumberFormat="1" applyFont="1" applyFill="1" applyBorder="1" applyAlignment="1" applyProtection="1">
      <alignment horizontal="center" vertical="center"/>
      <protection hidden="1"/>
    </xf>
    <xf numFmtId="168" fontId="29" fillId="19" borderId="26" xfId="0" applyNumberFormat="1" applyFont="1" applyFill="1" applyBorder="1" applyAlignment="1" applyProtection="1">
      <alignment horizontal="center" vertical="center"/>
      <protection hidden="1"/>
    </xf>
    <xf numFmtId="168" fontId="29" fillId="19" borderId="20" xfId="0" applyNumberFormat="1" applyFont="1" applyFill="1" applyBorder="1" applyAlignment="1" applyProtection="1">
      <alignment horizontal="center" vertical="center"/>
      <protection hidden="1"/>
    </xf>
    <xf numFmtId="0" fontId="17" fillId="6" borderId="18" xfId="0" applyFont="1" applyFill="1" applyBorder="1" applyAlignment="1" applyProtection="1">
      <alignment horizontal="center" vertical="center" wrapText="1"/>
      <protection hidden="1"/>
    </xf>
    <xf numFmtId="0" fontId="17" fillId="6" borderId="28" xfId="0" applyFont="1" applyFill="1" applyBorder="1" applyAlignment="1" applyProtection="1">
      <alignment horizontal="center" vertical="center" wrapText="1"/>
      <protection hidden="1"/>
    </xf>
    <xf numFmtId="0" fontId="17" fillId="6" borderId="44" xfId="0" applyFont="1" applyFill="1" applyBorder="1" applyAlignment="1" applyProtection="1">
      <alignment horizontal="center" vertical="center" wrapText="1"/>
      <protection hidden="1"/>
    </xf>
    <xf numFmtId="0" fontId="17" fillId="6" borderId="46" xfId="0" applyFont="1" applyFill="1" applyBorder="1" applyAlignment="1" applyProtection="1">
      <alignment horizontal="center" vertical="center" wrapText="1"/>
      <protection hidden="1"/>
    </xf>
    <xf numFmtId="0" fontId="29" fillId="19" borderId="74" xfId="0" applyFont="1" applyFill="1" applyBorder="1" applyAlignment="1" applyProtection="1">
      <alignment horizontal="center" vertical="center"/>
      <protection hidden="1"/>
    </xf>
    <xf numFmtId="0" fontId="29" fillId="19" borderId="29" xfId="0" applyFont="1" applyFill="1" applyBorder="1" applyAlignment="1" applyProtection="1">
      <alignment horizontal="center" vertical="center"/>
      <protection hidden="1"/>
    </xf>
    <xf numFmtId="0" fontId="29" fillId="19" borderId="18" xfId="0" applyFont="1" applyFill="1" applyBorder="1" applyAlignment="1" applyProtection="1">
      <alignment horizontal="center" vertical="center"/>
      <protection hidden="1"/>
    </xf>
    <xf numFmtId="0" fontId="29" fillId="19" borderId="28" xfId="0" applyFont="1" applyFill="1" applyBorder="1" applyAlignment="1" applyProtection="1">
      <alignment horizontal="center" vertical="center"/>
      <protection hidden="1"/>
    </xf>
    <xf numFmtId="168" fontId="29" fillId="19" borderId="32" xfId="0" applyNumberFormat="1" applyFont="1" applyFill="1" applyBorder="1" applyAlignment="1" applyProtection="1">
      <alignment horizontal="center" vertical="center"/>
      <protection hidden="1"/>
    </xf>
    <xf numFmtId="168" fontId="29" fillId="19" borderId="49" xfId="0" applyNumberFormat="1" applyFont="1" applyFill="1" applyBorder="1" applyAlignment="1" applyProtection="1">
      <alignment horizontal="center" vertical="center"/>
      <protection hidden="1"/>
    </xf>
    <xf numFmtId="0" fontId="30" fillId="18" borderId="23" xfId="0" applyFont="1" applyFill="1" applyBorder="1" applyAlignment="1" applyProtection="1">
      <alignment horizontal="center" vertical="center"/>
      <protection hidden="1"/>
    </xf>
    <xf numFmtId="0" fontId="30" fillId="18" borderId="24" xfId="0" applyFont="1" applyFill="1" applyBorder="1" applyAlignment="1" applyProtection="1">
      <alignment horizontal="center" vertical="center"/>
      <protection hidden="1"/>
    </xf>
    <xf numFmtId="0" fontId="30" fillId="18" borderId="38" xfId="0" applyFont="1" applyFill="1" applyBorder="1" applyAlignment="1" applyProtection="1">
      <alignment horizontal="center" vertical="center"/>
      <protection hidden="1"/>
    </xf>
    <xf numFmtId="0" fontId="30" fillId="18" borderId="21" xfId="0" applyFont="1" applyFill="1" applyBorder="1" applyAlignment="1" applyProtection="1">
      <alignment horizontal="center" vertical="center"/>
      <protection hidden="1"/>
    </xf>
    <xf numFmtId="0" fontId="30" fillId="18" borderId="6" xfId="0" applyFont="1" applyFill="1" applyBorder="1" applyAlignment="1" applyProtection="1">
      <alignment horizontal="center" vertical="center"/>
      <protection hidden="1"/>
    </xf>
    <xf numFmtId="49" fontId="27" fillId="6" borderId="43" xfId="0" applyNumberFormat="1" applyFont="1" applyFill="1" applyBorder="1" applyAlignment="1" applyProtection="1">
      <alignment horizontal="center" vertical="center"/>
      <protection hidden="1"/>
    </xf>
    <xf numFmtId="49" fontId="27" fillId="6" borderId="7" xfId="0" applyNumberFormat="1" applyFont="1" applyFill="1" applyBorder="1" applyAlignment="1" applyProtection="1">
      <alignment horizontal="center" vertical="center"/>
      <protection hidden="1"/>
    </xf>
    <xf numFmtId="49" fontId="27" fillId="6" borderId="20" xfId="0" applyNumberFormat="1" applyFont="1" applyFill="1" applyBorder="1" applyAlignment="1" applyProtection="1">
      <alignment horizontal="center" vertical="center" wrapText="1"/>
      <protection hidden="1"/>
    </xf>
    <xf numFmtId="49" fontId="27" fillId="6" borderId="8" xfId="0" applyNumberFormat="1" applyFont="1" applyFill="1" applyBorder="1" applyAlignment="1" applyProtection="1">
      <alignment horizontal="center" vertical="center" wrapText="1"/>
      <protection hidden="1"/>
    </xf>
    <xf numFmtId="49" fontId="27" fillId="6" borderId="26" xfId="2" applyNumberFormat="1" applyFont="1" applyFill="1" applyBorder="1" applyAlignment="1" applyProtection="1">
      <alignment horizontal="center" vertical="center"/>
      <protection hidden="1"/>
    </xf>
    <xf numFmtId="49" fontId="27" fillId="6" borderId="49" xfId="2" applyNumberFormat="1" applyFont="1" applyFill="1" applyBorder="1" applyAlignment="1" applyProtection="1">
      <alignment horizontal="center" vertical="center"/>
      <protection hidden="1"/>
    </xf>
    <xf numFmtId="49" fontId="27" fillId="6" borderId="20" xfId="2" applyNumberFormat="1" applyFont="1" applyFill="1" applyBorder="1" applyAlignment="1" applyProtection="1">
      <alignment horizontal="center" vertical="center" wrapText="1"/>
      <protection hidden="1"/>
    </xf>
    <xf numFmtId="49" fontId="27" fillId="6" borderId="8" xfId="2" applyNumberFormat="1" applyFont="1" applyFill="1" applyBorder="1" applyAlignment="1" applyProtection="1">
      <alignment horizontal="center" vertical="center" wrapText="1"/>
      <protection hidden="1"/>
    </xf>
    <xf numFmtId="49" fontId="27" fillId="6" borderId="44" xfId="0" applyNumberFormat="1" applyFont="1" applyFill="1" applyBorder="1" applyAlignment="1" applyProtection="1">
      <alignment horizontal="center" vertical="center" wrapText="1"/>
      <protection hidden="1"/>
    </xf>
    <xf numFmtId="49" fontId="27" fillId="6" borderId="12" xfId="0" applyNumberFormat="1" applyFont="1" applyFill="1" applyBorder="1" applyAlignment="1" applyProtection="1">
      <alignment horizontal="center" vertical="center" wrapText="1"/>
      <protection hidden="1"/>
    </xf>
    <xf numFmtId="49" fontId="27" fillId="6" borderId="5" xfId="2" applyNumberFormat="1" applyFont="1" applyFill="1" applyBorder="1" applyAlignment="1" applyProtection="1">
      <alignment horizontal="center" vertical="center" wrapText="1"/>
      <protection hidden="1"/>
    </xf>
    <xf numFmtId="0" fontId="26" fillId="12" borderId="22" xfId="0" applyFont="1" applyFill="1" applyBorder="1" applyAlignment="1" applyProtection="1">
      <alignment horizontal="center" vertical="center" wrapText="1"/>
      <protection hidden="1"/>
    </xf>
    <xf numFmtId="0" fontId="26" fillId="12" borderId="31" xfId="0" applyFont="1" applyFill="1" applyBorder="1" applyAlignment="1" applyProtection="1">
      <alignment horizontal="center" vertical="center" wrapText="1"/>
      <protection hidden="1"/>
    </xf>
    <xf numFmtId="0" fontId="26" fillId="12" borderId="23" xfId="0" applyFont="1" applyFill="1" applyBorder="1" applyAlignment="1" applyProtection="1">
      <alignment horizontal="center" vertical="center" wrapText="1"/>
      <protection hidden="1"/>
    </xf>
    <xf numFmtId="0" fontId="26" fillId="12" borderId="21" xfId="0" applyFont="1" applyFill="1" applyBorder="1" applyAlignment="1" applyProtection="1">
      <alignment horizontal="center" vertical="center" wrapText="1"/>
      <protection hidden="1"/>
    </xf>
    <xf numFmtId="0" fontId="26" fillId="12" borderId="40" xfId="0" applyFont="1" applyFill="1" applyBorder="1" applyAlignment="1" applyProtection="1">
      <alignment horizontal="center" vertical="center" wrapText="1"/>
      <protection hidden="1"/>
    </xf>
    <xf numFmtId="0" fontId="26" fillId="12" borderId="6" xfId="0" applyFont="1" applyFill="1" applyBorder="1" applyAlignment="1" applyProtection="1">
      <alignment horizontal="center" vertical="center" wrapText="1"/>
      <protection hidden="1"/>
    </xf>
    <xf numFmtId="0" fontId="27" fillId="6" borderId="4" xfId="0" applyFont="1" applyFill="1" applyBorder="1" applyAlignment="1" applyProtection="1">
      <alignment horizontal="center" vertical="center" wrapText="1"/>
      <protection hidden="1"/>
    </xf>
    <xf numFmtId="0" fontId="27" fillId="6" borderId="7" xfId="0" applyFont="1" applyFill="1" applyBorder="1" applyAlignment="1" applyProtection="1">
      <alignment horizontal="center" vertical="center" wrapText="1"/>
      <protection hidden="1"/>
    </xf>
    <xf numFmtId="0" fontId="27" fillId="6" borderId="39" xfId="0" applyFont="1" applyFill="1" applyBorder="1" applyAlignment="1" applyProtection="1">
      <alignment horizontal="center" vertical="center" wrapText="1"/>
      <protection hidden="1"/>
    </xf>
    <xf numFmtId="0" fontId="27" fillId="6" borderId="12" xfId="0" applyFont="1" applyFill="1" applyBorder="1" applyAlignment="1" applyProtection="1">
      <alignment horizontal="center" vertical="center" wrapText="1"/>
      <protection hidden="1"/>
    </xf>
    <xf numFmtId="0" fontId="30" fillId="22" borderId="22" xfId="0" applyFont="1" applyFill="1" applyBorder="1" applyAlignment="1" applyProtection="1">
      <alignment horizontal="center" vertical="center"/>
      <protection hidden="1"/>
    </xf>
    <xf numFmtId="0" fontId="30" fillId="22" borderId="24" xfId="0" applyFont="1" applyFill="1" applyBorder="1" applyAlignment="1" applyProtection="1">
      <alignment horizontal="center" vertical="center"/>
      <protection hidden="1"/>
    </xf>
    <xf numFmtId="0" fontId="30" fillId="22" borderId="21" xfId="0" applyFont="1" applyFill="1" applyBorder="1" applyAlignment="1" applyProtection="1">
      <alignment horizontal="center" vertical="center"/>
      <protection hidden="1"/>
    </xf>
    <xf numFmtId="0" fontId="27" fillId="6" borderId="39" xfId="0" applyFont="1" applyFill="1" applyBorder="1" applyAlignment="1" applyProtection="1">
      <alignment horizontal="center" vertical="center"/>
      <protection hidden="1"/>
    </xf>
    <xf numFmtId="0" fontId="27" fillId="6" borderId="46" xfId="0" applyFont="1" applyFill="1" applyBorder="1" applyAlignment="1" applyProtection="1">
      <alignment horizontal="center" vertical="center"/>
      <protection hidden="1"/>
    </xf>
    <xf numFmtId="0" fontId="30" fillId="22" borderId="61" xfId="0" applyFont="1" applyFill="1" applyBorder="1" applyAlignment="1" applyProtection="1">
      <alignment horizontal="center" vertical="center" wrapText="1"/>
      <protection hidden="1"/>
    </xf>
    <xf numFmtId="0" fontId="30" fillId="22" borderId="62" xfId="0" applyFont="1" applyFill="1" applyBorder="1" applyAlignment="1" applyProtection="1">
      <alignment horizontal="center" vertical="center" wrapText="1"/>
      <protection hidden="1"/>
    </xf>
    <xf numFmtId="0" fontId="30" fillId="22" borderId="63" xfId="0" applyFont="1" applyFill="1" applyBorder="1" applyAlignment="1" applyProtection="1">
      <alignment horizontal="center" vertical="center" wrapText="1"/>
      <protection hidden="1"/>
    </xf>
    <xf numFmtId="0" fontId="30" fillId="22" borderId="24" xfId="0" applyFont="1" applyFill="1" applyBorder="1" applyAlignment="1" applyProtection="1">
      <alignment horizontal="center" vertical="center" wrapText="1"/>
      <protection hidden="1"/>
    </xf>
    <xf numFmtId="0" fontId="30" fillId="22" borderId="21" xfId="0" applyFont="1" applyFill="1" applyBorder="1" applyAlignment="1" applyProtection="1">
      <alignment horizontal="center" vertical="center" wrapText="1"/>
      <protection hidden="1"/>
    </xf>
    <xf numFmtId="0" fontId="30" fillId="22" borderId="22" xfId="0" applyFont="1" applyFill="1" applyBorder="1" applyAlignment="1" applyProtection="1">
      <alignment horizontal="center" vertical="center" wrapText="1"/>
      <protection hidden="1"/>
    </xf>
    <xf numFmtId="0" fontId="27" fillId="6" borderId="5" xfId="0" applyFont="1" applyFill="1" applyBorder="1" applyAlignment="1" applyProtection="1">
      <alignment horizontal="center" vertical="center" wrapText="1"/>
      <protection hidden="1"/>
    </xf>
    <xf numFmtId="0" fontId="27" fillId="6" borderId="32" xfId="0" applyFont="1" applyFill="1" applyBorder="1" applyAlignment="1" applyProtection="1">
      <alignment horizontal="center" vertical="center" wrapText="1"/>
      <protection hidden="1"/>
    </xf>
    <xf numFmtId="0" fontId="27" fillId="6" borderId="4" xfId="0" applyFont="1" applyFill="1" applyBorder="1" applyAlignment="1" applyProtection="1">
      <alignment horizontal="center" vertical="center"/>
      <protection hidden="1"/>
    </xf>
    <xf numFmtId="0" fontId="27" fillId="6" borderId="45" xfId="0" applyFont="1" applyFill="1" applyBorder="1" applyAlignment="1" applyProtection="1">
      <alignment horizontal="center" vertical="center"/>
      <protection hidden="1"/>
    </xf>
    <xf numFmtId="0" fontId="27" fillId="6" borderId="5" xfId="0" applyFont="1" applyFill="1" applyBorder="1" applyAlignment="1" applyProtection="1">
      <alignment horizontal="center" vertical="center"/>
      <protection hidden="1"/>
    </xf>
    <xf numFmtId="0" fontId="27" fillId="6" borderId="32" xfId="0" applyFont="1" applyFill="1" applyBorder="1" applyAlignment="1" applyProtection="1">
      <alignment horizontal="center" vertical="center"/>
      <protection hidden="1"/>
    </xf>
    <xf numFmtId="0" fontId="27" fillId="22" borderId="5" xfId="0" applyFont="1" applyFill="1" applyBorder="1" applyAlignment="1" applyProtection="1">
      <alignment horizontal="center" vertical="center" wrapText="1"/>
      <protection hidden="1"/>
    </xf>
    <xf numFmtId="0" fontId="27" fillId="22" borderId="32" xfId="0" applyFont="1" applyFill="1" applyBorder="1" applyAlignment="1" applyProtection="1">
      <alignment horizontal="center" vertical="center" wrapText="1"/>
      <protection hidden="1"/>
    </xf>
    <xf numFmtId="49" fontId="27" fillId="6" borderId="4" xfId="2" applyNumberFormat="1" applyFont="1" applyFill="1" applyBorder="1" applyAlignment="1" applyProtection="1">
      <alignment horizontal="center" vertical="center" wrapText="1"/>
      <protection hidden="1"/>
    </xf>
    <xf numFmtId="49" fontId="27" fillId="6" borderId="7" xfId="2" applyNumberFormat="1" applyFont="1" applyFill="1" applyBorder="1" applyAlignment="1" applyProtection="1">
      <alignment horizontal="center" vertical="center" wrapText="1"/>
      <protection hidden="1"/>
    </xf>
    <xf numFmtId="2" fontId="6" fillId="0" borderId="1" xfId="0" applyNumberFormat="1" applyFont="1" applyFill="1" applyBorder="1" applyAlignment="1" applyProtection="1">
      <alignment horizontal="center" vertical="center"/>
      <protection hidden="1"/>
    </xf>
    <xf numFmtId="2" fontId="6" fillId="0" borderId="1" xfId="0" applyNumberFormat="1" applyFont="1" applyFill="1" applyBorder="1" applyAlignment="1" applyProtection="1">
      <alignment horizontal="center" vertical="center" wrapText="1"/>
      <protection hidden="1"/>
    </xf>
    <xf numFmtId="2" fontId="6" fillId="0" borderId="8" xfId="0" applyNumberFormat="1" applyFont="1" applyFill="1" applyBorder="1" applyAlignment="1" applyProtection="1">
      <alignment horizontal="center" vertical="center"/>
      <protection hidden="1"/>
    </xf>
    <xf numFmtId="0" fontId="17" fillId="6" borderId="22" xfId="0" applyFont="1" applyFill="1" applyBorder="1" applyAlignment="1" applyProtection="1">
      <alignment horizontal="center" vertical="center"/>
      <protection hidden="1"/>
    </xf>
    <xf numFmtId="0" fontId="17" fillId="6" borderId="31" xfId="0" applyFont="1" applyFill="1" applyBorder="1" applyAlignment="1" applyProtection="1">
      <alignment horizontal="center" vertical="center"/>
      <protection hidden="1"/>
    </xf>
    <xf numFmtId="0" fontId="17" fillId="6" borderId="23" xfId="0" applyFont="1" applyFill="1" applyBorder="1" applyAlignment="1" applyProtection="1">
      <alignment horizontal="center" vertical="center"/>
      <protection hidden="1"/>
    </xf>
    <xf numFmtId="0" fontId="30" fillId="0" borderId="5" xfId="0" applyFont="1" applyBorder="1" applyAlignment="1" applyProtection="1">
      <alignment horizontal="center"/>
      <protection hidden="1"/>
    </xf>
    <xf numFmtId="0" fontId="29" fillId="0" borderId="5" xfId="0" applyFont="1" applyFill="1" applyBorder="1" applyAlignment="1" applyProtection="1">
      <alignment horizontal="center" vertical="center"/>
      <protection hidden="1"/>
    </xf>
    <xf numFmtId="0" fontId="30" fillId="15" borderId="59" xfId="0" applyFont="1" applyFill="1" applyBorder="1" applyAlignment="1" applyProtection="1">
      <alignment horizontal="center" vertical="center"/>
      <protection hidden="1"/>
    </xf>
    <xf numFmtId="0" fontId="30" fillId="15" borderId="52" xfId="0" applyFont="1" applyFill="1" applyBorder="1" applyAlignment="1" applyProtection="1">
      <alignment horizontal="center" vertical="center"/>
      <protection hidden="1"/>
    </xf>
    <xf numFmtId="0" fontId="30" fillId="15" borderId="50" xfId="0" applyFont="1" applyFill="1" applyBorder="1" applyAlignment="1" applyProtection="1">
      <alignment horizontal="center" vertical="center"/>
      <protection hidden="1"/>
    </xf>
    <xf numFmtId="0" fontId="30" fillId="15" borderId="33" xfId="0" applyFont="1" applyFill="1" applyBorder="1" applyAlignment="1" applyProtection="1">
      <alignment horizontal="center" vertical="center"/>
      <protection hidden="1"/>
    </xf>
    <xf numFmtId="0" fontId="30" fillId="15" borderId="56" xfId="0" applyFont="1" applyFill="1" applyBorder="1" applyAlignment="1" applyProtection="1">
      <alignment horizontal="center" vertical="center"/>
      <protection hidden="1"/>
    </xf>
    <xf numFmtId="0" fontId="30" fillId="15" borderId="34" xfId="0" applyFont="1" applyFill="1" applyBorder="1" applyAlignment="1" applyProtection="1">
      <alignment horizontal="center" vertical="center"/>
      <protection hidden="1"/>
    </xf>
    <xf numFmtId="0" fontId="29" fillId="19" borderId="75" xfId="0" applyFont="1" applyFill="1" applyBorder="1" applyAlignment="1" applyProtection="1">
      <alignment horizontal="center" vertical="center"/>
      <protection hidden="1"/>
    </xf>
    <xf numFmtId="0" fontId="30" fillId="6" borderId="56" xfId="0" applyFont="1" applyFill="1" applyBorder="1" applyAlignment="1" applyProtection="1">
      <alignment horizontal="center" vertical="center"/>
      <protection hidden="1"/>
    </xf>
    <xf numFmtId="0" fontId="17" fillId="6" borderId="24" xfId="0" applyFont="1" applyFill="1" applyBorder="1" applyAlignment="1" applyProtection="1">
      <alignment horizontal="center" vertical="center" wrapText="1"/>
      <protection hidden="1"/>
    </xf>
    <xf numFmtId="0" fontId="17" fillId="6" borderId="0" xfId="0" applyFont="1" applyFill="1" applyBorder="1" applyAlignment="1" applyProtection="1">
      <alignment horizontal="center" vertical="center" wrapText="1"/>
      <protection hidden="1"/>
    </xf>
    <xf numFmtId="0" fontId="17" fillId="6" borderId="38" xfId="0" applyFont="1" applyFill="1" applyBorder="1" applyAlignment="1" applyProtection="1">
      <alignment horizontal="center" vertical="center" wrapText="1"/>
      <protection hidden="1"/>
    </xf>
    <xf numFmtId="0" fontId="30" fillId="19" borderId="44" xfId="0" applyFont="1" applyFill="1" applyBorder="1" applyAlignment="1" applyProtection="1">
      <alignment horizontal="center" vertical="center" wrapText="1"/>
      <protection hidden="1"/>
    </xf>
    <xf numFmtId="0" fontId="30" fillId="21" borderId="51" xfId="0" applyFont="1" applyFill="1" applyBorder="1" applyAlignment="1" applyProtection="1">
      <alignment horizontal="center" vertical="center"/>
      <protection hidden="1"/>
    </xf>
    <xf numFmtId="0" fontId="30" fillId="21" borderId="26" xfId="0" applyFont="1" applyFill="1" applyBorder="1" applyAlignment="1" applyProtection="1">
      <alignment horizontal="center" vertical="center"/>
      <protection hidden="1"/>
    </xf>
    <xf numFmtId="0" fontId="30" fillId="21" borderId="49" xfId="0" applyFont="1" applyFill="1" applyBorder="1" applyAlignment="1" applyProtection="1">
      <alignment horizontal="center" vertical="center"/>
      <protection hidden="1"/>
    </xf>
    <xf numFmtId="2" fontId="4" fillId="6" borderId="4" xfId="0" applyNumberFormat="1" applyFont="1" applyFill="1" applyBorder="1" applyAlignment="1" applyProtection="1">
      <alignment horizontal="left" vertical="center" wrapText="1"/>
      <protection hidden="1"/>
    </xf>
    <xf numFmtId="2" fontId="4" fillId="6" borderId="5" xfId="0" applyNumberFormat="1" applyFont="1" applyFill="1" applyBorder="1" applyAlignment="1" applyProtection="1">
      <alignment horizontal="left" vertical="center" wrapText="1"/>
      <protection hidden="1"/>
    </xf>
    <xf numFmtId="2" fontId="18" fillId="6" borderId="37" xfId="0" applyNumberFormat="1" applyFont="1" applyFill="1" applyBorder="1" applyAlignment="1" applyProtection="1">
      <alignment horizontal="center" vertical="center" wrapText="1"/>
      <protection hidden="1"/>
    </xf>
    <xf numFmtId="2" fontId="18" fillId="6" borderId="13" xfId="0" applyNumberFormat="1" applyFont="1" applyFill="1" applyBorder="1" applyAlignment="1" applyProtection="1">
      <alignment horizontal="center" vertical="center" wrapText="1"/>
      <protection hidden="1"/>
    </xf>
    <xf numFmtId="2" fontId="18" fillId="6" borderId="17" xfId="0" applyNumberFormat="1" applyFont="1" applyFill="1" applyBorder="1" applyAlignment="1" applyProtection="1">
      <alignment horizontal="center" vertical="center" wrapText="1"/>
      <protection hidden="1"/>
    </xf>
    <xf numFmtId="2" fontId="18" fillId="6" borderId="18" xfId="0" applyNumberFormat="1" applyFont="1" applyFill="1" applyBorder="1" applyAlignment="1" applyProtection="1">
      <alignment horizontal="center" vertical="center" wrapText="1"/>
      <protection hidden="1"/>
    </xf>
    <xf numFmtId="2" fontId="26" fillId="3" borderId="14" xfId="0" applyNumberFormat="1" applyFont="1" applyFill="1" applyBorder="1" applyAlignment="1" applyProtection="1">
      <alignment horizontal="center" vertical="center"/>
      <protection hidden="1"/>
    </xf>
    <xf numFmtId="2" fontId="26" fillId="3" borderId="15" xfId="0" applyNumberFormat="1" applyFont="1" applyFill="1" applyBorder="1" applyAlignment="1" applyProtection="1">
      <alignment horizontal="center" vertical="center"/>
      <protection hidden="1"/>
    </xf>
    <xf numFmtId="2" fontId="26" fillId="3" borderId="16" xfId="0" applyNumberFormat="1" applyFont="1" applyFill="1" applyBorder="1" applyAlignment="1" applyProtection="1">
      <alignment horizontal="center" vertical="center"/>
      <protection hidden="1"/>
    </xf>
    <xf numFmtId="2" fontId="26" fillId="8" borderId="14" xfId="0" applyNumberFormat="1" applyFont="1" applyFill="1" applyBorder="1" applyAlignment="1" applyProtection="1">
      <alignment horizontal="center" vertical="center" wrapText="1"/>
      <protection hidden="1"/>
    </xf>
    <xf numFmtId="2" fontId="26" fillId="8" borderId="15" xfId="0" applyNumberFormat="1" applyFont="1" applyFill="1" applyBorder="1" applyAlignment="1" applyProtection="1">
      <alignment horizontal="center" vertical="center" wrapText="1"/>
      <protection hidden="1"/>
    </xf>
    <xf numFmtId="2" fontId="26" fillId="8" borderId="16" xfId="0" applyNumberFormat="1" applyFont="1" applyFill="1" applyBorder="1" applyAlignment="1" applyProtection="1">
      <alignment horizontal="center" vertical="center" wrapText="1"/>
      <protection hidden="1"/>
    </xf>
    <xf numFmtId="2" fontId="26" fillId="8" borderId="22" xfId="0" applyNumberFormat="1" applyFont="1" applyFill="1" applyBorder="1" applyAlignment="1" applyProtection="1">
      <alignment horizontal="center" vertical="center" wrapText="1"/>
      <protection hidden="1"/>
    </xf>
    <xf numFmtId="2" fontId="26" fillId="8" borderId="31" xfId="0" applyNumberFormat="1" applyFont="1" applyFill="1" applyBorder="1" applyAlignment="1" applyProtection="1">
      <alignment horizontal="center" vertical="center" wrapText="1"/>
      <protection hidden="1"/>
    </xf>
    <xf numFmtId="2" fontId="8" fillId="6" borderId="48" xfId="0" applyNumberFormat="1" applyFont="1" applyFill="1" applyBorder="1" applyAlignment="1" applyProtection="1">
      <alignment horizontal="center" vertical="center"/>
      <protection hidden="1"/>
    </xf>
    <xf numFmtId="2" fontId="8" fillId="6" borderId="49" xfId="0" applyNumberFormat="1" applyFont="1" applyFill="1" applyBorder="1" applyAlignment="1" applyProtection="1">
      <alignment horizontal="center" vertical="center"/>
      <protection hidden="1"/>
    </xf>
    <xf numFmtId="2" fontId="8" fillId="6" borderId="50" xfId="0" applyNumberFormat="1" applyFont="1" applyFill="1" applyBorder="1" applyAlignment="1" applyProtection="1">
      <alignment horizontal="center" vertical="center"/>
      <protection hidden="1"/>
    </xf>
    <xf numFmtId="2" fontId="13" fillId="6" borderId="61" xfId="0" applyNumberFormat="1" applyFont="1" applyFill="1" applyBorder="1" applyAlignment="1" applyProtection="1">
      <alignment horizontal="center" vertical="center" wrapText="1"/>
      <protection hidden="1"/>
    </xf>
    <xf numFmtId="2" fontId="13" fillId="6" borderId="72" xfId="0" applyNumberFormat="1" applyFont="1" applyFill="1" applyBorder="1" applyAlignment="1" applyProtection="1">
      <alignment horizontal="center" vertical="center" wrapText="1"/>
      <protection hidden="1"/>
    </xf>
    <xf numFmtId="2" fontId="13" fillId="6" borderId="65" xfId="0" applyNumberFormat="1" applyFont="1" applyFill="1" applyBorder="1" applyAlignment="1" applyProtection="1">
      <alignment horizontal="center" vertical="center" wrapText="1"/>
      <protection hidden="1"/>
    </xf>
    <xf numFmtId="2" fontId="13" fillId="6" borderId="62" xfId="0" applyNumberFormat="1" applyFont="1" applyFill="1" applyBorder="1" applyAlignment="1" applyProtection="1">
      <alignment horizontal="center" vertical="center" wrapText="1"/>
      <protection hidden="1"/>
    </xf>
    <xf numFmtId="2" fontId="13" fillId="6" borderId="19" xfId="0" applyNumberFormat="1" applyFont="1" applyFill="1" applyBorder="1" applyAlignment="1" applyProtection="1">
      <alignment horizontal="center" vertical="center" wrapText="1"/>
      <protection hidden="1"/>
    </xf>
    <xf numFmtId="2" fontId="13" fillId="6" borderId="66" xfId="0" applyNumberFormat="1" applyFont="1" applyFill="1" applyBorder="1" applyAlignment="1" applyProtection="1">
      <alignment horizontal="center" vertical="center" wrapText="1"/>
      <protection hidden="1"/>
    </xf>
    <xf numFmtId="2" fontId="13" fillId="6" borderId="63" xfId="0" applyNumberFormat="1" applyFont="1" applyFill="1" applyBorder="1" applyAlignment="1" applyProtection="1">
      <alignment horizontal="center" vertical="center" wrapText="1"/>
      <protection hidden="1"/>
    </xf>
    <xf numFmtId="2" fontId="13" fillId="6" borderId="60" xfId="0" applyNumberFormat="1" applyFont="1" applyFill="1" applyBorder="1" applyAlignment="1" applyProtection="1">
      <alignment horizontal="center" vertical="center" wrapText="1"/>
      <protection hidden="1"/>
    </xf>
    <xf numFmtId="2" fontId="13" fillId="6" borderId="67" xfId="0" applyNumberFormat="1" applyFont="1" applyFill="1" applyBorder="1" applyAlignment="1" applyProtection="1">
      <alignment horizontal="center" vertical="center" wrapText="1"/>
      <protection hidden="1"/>
    </xf>
    <xf numFmtId="2" fontId="7" fillId="6" borderId="19" xfId="0" applyNumberFormat="1" applyFont="1" applyFill="1" applyBorder="1" applyAlignment="1" applyProtection="1">
      <alignment horizontal="center" vertical="center"/>
      <protection hidden="1"/>
    </xf>
    <xf numFmtId="2" fontId="47" fillId="19" borderId="14" xfId="0" applyNumberFormat="1" applyFont="1" applyFill="1" applyBorder="1" applyAlignment="1" applyProtection="1">
      <alignment horizontal="left" vertical="center" wrapText="1"/>
      <protection hidden="1"/>
    </xf>
    <xf numFmtId="2" fontId="47" fillId="19" borderId="16" xfId="0" applyNumberFormat="1" applyFont="1" applyFill="1" applyBorder="1" applyAlignment="1" applyProtection="1">
      <alignment horizontal="left" vertical="center" wrapText="1"/>
      <protection hidden="1"/>
    </xf>
    <xf numFmtId="2" fontId="4" fillId="19" borderId="14" xfId="0" applyNumberFormat="1" applyFont="1" applyFill="1" applyBorder="1" applyAlignment="1" applyProtection="1">
      <alignment horizontal="left" vertical="center" wrapText="1"/>
      <protection hidden="1"/>
    </xf>
    <xf numFmtId="2" fontId="4" fillId="19" borderId="16" xfId="0" applyNumberFormat="1" applyFont="1" applyFill="1" applyBorder="1" applyAlignment="1" applyProtection="1">
      <alignment horizontal="left" vertical="center" wrapText="1"/>
      <protection hidden="1"/>
    </xf>
    <xf numFmtId="2" fontId="36" fillId="19" borderId="4" xfId="2" applyNumberFormat="1" applyFont="1" applyFill="1" applyBorder="1" applyAlignment="1" applyProtection="1">
      <alignment horizontal="center" vertical="center" wrapText="1"/>
      <protection hidden="1"/>
    </xf>
    <xf numFmtId="2" fontId="36" fillId="19" borderId="45" xfId="2" applyNumberFormat="1" applyFont="1" applyFill="1" applyBorder="1" applyAlignment="1" applyProtection="1">
      <alignment horizontal="center" vertical="center" wrapText="1"/>
      <protection hidden="1"/>
    </xf>
    <xf numFmtId="2" fontId="18" fillId="19" borderId="5" xfId="0" applyNumberFormat="1" applyFont="1" applyFill="1" applyBorder="1" applyAlignment="1" applyProtection="1">
      <alignment horizontal="center" vertical="center" wrapText="1"/>
      <protection hidden="1"/>
    </xf>
    <xf numFmtId="2" fontId="18" fillId="19" borderId="32" xfId="0" applyNumberFormat="1" applyFont="1" applyFill="1" applyBorder="1" applyAlignment="1" applyProtection="1">
      <alignment horizontal="center" vertical="center" wrapText="1"/>
      <protection hidden="1"/>
    </xf>
    <xf numFmtId="2" fontId="13" fillId="19" borderId="14" xfId="0" applyNumberFormat="1" applyFont="1" applyFill="1" applyBorder="1" applyAlignment="1" applyProtection="1">
      <alignment horizontal="center" vertical="center" wrapText="1"/>
      <protection hidden="1"/>
    </xf>
    <xf numFmtId="2" fontId="13" fillId="19" borderId="16" xfId="0" applyNumberFormat="1" applyFont="1" applyFill="1" applyBorder="1" applyAlignment="1" applyProtection="1">
      <alignment horizontal="center" vertical="center" wrapText="1"/>
      <protection hidden="1"/>
    </xf>
    <xf numFmtId="2" fontId="23" fillId="3" borderId="14" xfId="0" applyNumberFormat="1" applyFont="1" applyFill="1" applyBorder="1" applyAlignment="1" applyProtection="1">
      <alignment horizontal="center" vertical="center"/>
      <protection hidden="1"/>
    </xf>
    <xf numFmtId="2" fontId="23" fillId="3" borderId="15" xfId="0" applyNumberFormat="1" applyFont="1" applyFill="1" applyBorder="1" applyAlignment="1" applyProtection="1">
      <alignment horizontal="center" vertical="center"/>
      <protection hidden="1"/>
    </xf>
    <xf numFmtId="2" fontId="23" fillId="3" borderId="16" xfId="0" applyNumberFormat="1" applyFont="1" applyFill="1" applyBorder="1" applyAlignment="1" applyProtection="1">
      <alignment horizontal="center" vertical="center"/>
      <protection hidden="1"/>
    </xf>
    <xf numFmtId="2" fontId="26" fillId="3" borderId="14" xfId="0" applyNumberFormat="1" applyFont="1" applyFill="1" applyBorder="1" applyAlignment="1" applyProtection="1">
      <alignment horizontal="center" vertical="center" wrapText="1"/>
      <protection hidden="1"/>
    </xf>
    <xf numFmtId="2" fontId="26" fillId="3" borderId="15" xfId="0" applyNumberFormat="1" applyFont="1" applyFill="1" applyBorder="1" applyAlignment="1" applyProtection="1">
      <alignment horizontal="center" vertical="center" wrapText="1"/>
      <protection hidden="1"/>
    </xf>
    <xf numFmtId="2" fontId="26" fillId="3" borderId="16" xfId="0" applyNumberFormat="1" applyFont="1" applyFill="1" applyBorder="1" applyAlignment="1" applyProtection="1">
      <alignment horizontal="center" vertical="center" wrapText="1"/>
      <protection hidden="1"/>
    </xf>
    <xf numFmtId="2" fontId="18" fillId="19" borderId="54" xfId="0" applyNumberFormat="1" applyFont="1" applyFill="1" applyBorder="1" applyAlignment="1" applyProtection="1">
      <alignment horizontal="center" vertical="center"/>
      <protection hidden="1"/>
    </xf>
    <xf numFmtId="2" fontId="18" fillId="19" borderId="30" xfId="0" applyNumberFormat="1" applyFont="1" applyFill="1" applyBorder="1" applyAlignment="1" applyProtection="1">
      <alignment horizontal="center" vertical="center"/>
      <protection hidden="1"/>
    </xf>
    <xf numFmtId="2" fontId="18" fillId="19" borderId="39" xfId="0" applyNumberFormat="1" applyFont="1" applyFill="1" applyBorder="1" applyAlignment="1" applyProtection="1">
      <alignment horizontal="center" vertical="center" wrapText="1"/>
      <protection hidden="1"/>
    </xf>
    <xf numFmtId="2" fontId="18" fillId="19" borderId="46" xfId="0" applyNumberFormat="1" applyFont="1" applyFill="1" applyBorder="1" applyAlignment="1" applyProtection="1">
      <alignment horizontal="center" vertical="center" wrapText="1"/>
      <protection hidden="1"/>
    </xf>
    <xf numFmtId="2" fontId="18" fillId="19" borderId="4" xfId="0" applyNumberFormat="1" applyFont="1" applyFill="1" applyBorder="1" applyAlignment="1" applyProtection="1">
      <alignment horizontal="center" vertical="center"/>
      <protection hidden="1"/>
    </xf>
    <xf numFmtId="2" fontId="18" fillId="19" borderId="45" xfId="0" applyNumberFormat="1" applyFont="1" applyFill="1" applyBorder="1" applyAlignment="1" applyProtection="1">
      <alignment horizontal="center" vertical="center"/>
      <protection hidden="1"/>
    </xf>
    <xf numFmtId="2" fontId="44" fillId="0" borderId="22" xfId="0" applyNumberFormat="1" applyFont="1" applyFill="1" applyBorder="1" applyAlignment="1" applyProtection="1">
      <alignment horizontal="center" vertical="center" wrapText="1"/>
      <protection hidden="1"/>
    </xf>
    <xf numFmtId="2" fontId="44" fillId="0" borderId="31" xfId="0" applyNumberFormat="1" applyFont="1" applyFill="1" applyBorder="1" applyAlignment="1" applyProtection="1">
      <alignment horizontal="center" vertical="center" wrapText="1"/>
      <protection hidden="1"/>
    </xf>
    <xf numFmtId="2" fontId="44" fillId="0" borderId="23" xfId="0" applyNumberFormat="1" applyFont="1" applyFill="1" applyBorder="1" applyAlignment="1" applyProtection="1">
      <alignment horizontal="center" vertical="center" wrapText="1"/>
      <protection hidden="1"/>
    </xf>
    <xf numFmtId="2" fontId="44" fillId="0" borderId="24" xfId="0" applyNumberFormat="1" applyFont="1" applyFill="1" applyBorder="1" applyAlignment="1" applyProtection="1">
      <alignment horizontal="center" vertical="center" wrapText="1"/>
      <protection hidden="1"/>
    </xf>
    <xf numFmtId="2" fontId="44" fillId="0" borderId="0" xfId="0" applyNumberFormat="1" applyFont="1" applyFill="1" applyBorder="1" applyAlignment="1" applyProtection="1">
      <alignment horizontal="center" vertical="center" wrapText="1"/>
      <protection hidden="1"/>
    </xf>
    <xf numFmtId="2" fontId="44" fillId="0" borderId="38" xfId="0" applyNumberFormat="1" applyFont="1" applyFill="1" applyBorder="1" applyAlignment="1" applyProtection="1">
      <alignment horizontal="center" vertical="center" wrapText="1"/>
      <protection hidden="1"/>
    </xf>
    <xf numFmtId="2" fontId="44" fillId="0" borderId="21" xfId="0" applyNumberFormat="1" applyFont="1" applyFill="1" applyBorder="1" applyAlignment="1" applyProtection="1">
      <alignment horizontal="center" vertical="center" wrapText="1"/>
      <protection hidden="1"/>
    </xf>
    <xf numFmtId="2" fontId="44" fillId="0" borderId="40" xfId="0" applyNumberFormat="1" applyFont="1" applyFill="1" applyBorder="1" applyAlignment="1" applyProtection="1">
      <alignment horizontal="center" vertical="center" wrapText="1"/>
      <protection hidden="1"/>
    </xf>
    <xf numFmtId="2" fontId="44" fillId="0" borderId="6" xfId="0" applyNumberFormat="1" applyFont="1" applyFill="1" applyBorder="1" applyAlignment="1" applyProtection="1">
      <alignment horizontal="center" vertical="center" wrapText="1"/>
      <protection hidden="1"/>
    </xf>
    <xf numFmtId="2" fontId="8" fillId="6" borderId="7" xfId="2" applyNumberFormat="1" applyFont="1" applyFill="1" applyBorder="1" applyAlignment="1" applyProtection="1">
      <alignment horizontal="center" vertical="center"/>
      <protection hidden="1"/>
    </xf>
    <xf numFmtId="2" fontId="8" fillId="6" borderId="12" xfId="2" applyNumberFormat="1" applyFont="1" applyFill="1" applyBorder="1" applyAlignment="1" applyProtection="1">
      <alignment horizontal="center" vertical="center"/>
      <protection hidden="1"/>
    </xf>
    <xf numFmtId="2" fontId="7" fillId="9" borderId="60" xfId="0" applyNumberFormat="1" applyFont="1" applyFill="1" applyBorder="1" applyAlignment="1" applyProtection="1">
      <alignment horizontal="center" vertical="center"/>
      <protection hidden="1"/>
    </xf>
    <xf numFmtId="2" fontId="7" fillId="9" borderId="67" xfId="0" applyNumberFormat="1" applyFont="1" applyFill="1" applyBorder="1" applyAlignment="1" applyProtection="1">
      <alignment horizontal="center" vertical="center"/>
      <protection hidden="1"/>
    </xf>
    <xf numFmtId="2" fontId="9" fillId="6" borderId="5" xfId="2" applyNumberFormat="1" applyFont="1" applyFill="1" applyBorder="1" applyAlignment="1" applyProtection="1">
      <alignment horizontal="center" vertical="center" wrapText="1"/>
      <protection hidden="1"/>
    </xf>
    <xf numFmtId="2" fontId="9" fillId="6" borderId="8" xfId="2" applyNumberFormat="1" applyFont="1" applyFill="1" applyBorder="1" applyAlignment="1" applyProtection="1">
      <alignment horizontal="center" vertical="center" wrapText="1"/>
      <protection hidden="1"/>
    </xf>
    <xf numFmtId="2" fontId="9" fillId="6" borderId="39" xfId="2" applyNumberFormat="1" applyFont="1" applyFill="1" applyBorder="1" applyAlignment="1" applyProtection="1">
      <alignment horizontal="center" vertical="center" wrapText="1"/>
      <protection hidden="1"/>
    </xf>
    <xf numFmtId="2" fontId="9" fillId="6" borderId="12" xfId="2" applyNumberFormat="1" applyFont="1" applyFill="1" applyBorder="1" applyAlignment="1" applyProtection="1">
      <alignment horizontal="center" vertical="center" wrapText="1"/>
      <protection hidden="1"/>
    </xf>
    <xf numFmtId="2" fontId="26" fillId="3" borderId="22" xfId="0" applyNumberFormat="1" applyFont="1" applyFill="1" applyBorder="1" applyAlignment="1" applyProtection="1">
      <alignment horizontal="center" vertical="center"/>
      <protection hidden="1"/>
    </xf>
    <xf numFmtId="2" fontId="26" fillId="3" borderId="31" xfId="0" applyNumberFormat="1" applyFont="1" applyFill="1" applyBorder="1" applyAlignment="1" applyProtection="1">
      <alignment horizontal="center" vertical="center"/>
      <protection hidden="1"/>
    </xf>
    <xf numFmtId="2" fontId="8" fillId="6" borderId="9" xfId="2" applyNumberFormat="1" applyFont="1" applyFill="1" applyBorder="1" applyAlignment="1" applyProtection="1">
      <alignment horizontal="center" vertical="center" wrapText="1"/>
      <protection hidden="1"/>
    </xf>
    <xf numFmtId="2" fontId="8" fillId="6" borderId="10" xfId="2" applyNumberFormat="1" applyFont="1" applyFill="1" applyBorder="1" applyAlignment="1" applyProtection="1">
      <alignment horizontal="center" vertical="center" wrapText="1"/>
      <protection hidden="1"/>
    </xf>
    <xf numFmtId="2" fontId="8" fillId="6" borderId="11" xfId="2" applyNumberFormat="1" applyFont="1" applyFill="1" applyBorder="1" applyAlignment="1" applyProtection="1">
      <alignment horizontal="center" vertical="center" wrapText="1"/>
      <protection hidden="1"/>
    </xf>
    <xf numFmtId="2" fontId="9" fillId="6" borderId="4" xfId="2" applyNumberFormat="1" applyFont="1" applyFill="1" applyBorder="1" applyAlignment="1" applyProtection="1">
      <alignment horizontal="center" vertical="center" wrapText="1"/>
      <protection hidden="1"/>
    </xf>
    <xf numFmtId="2" fontId="9" fillId="6" borderId="7" xfId="2" applyNumberFormat="1" applyFont="1" applyFill="1" applyBorder="1" applyAlignment="1" applyProtection="1">
      <alignment horizontal="center" vertical="center" wrapText="1"/>
      <protection hidden="1"/>
    </xf>
    <xf numFmtId="2" fontId="6" fillId="13" borderId="33" xfId="3" applyFont="1" applyBorder="1" applyAlignment="1" applyProtection="1">
      <alignment horizontal="center" vertical="center"/>
      <protection locked="0" hidden="1"/>
    </xf>
    <xf numFmtId="2" fontId="6" fillId="13" borderId="34" xfId="3" applyFont="1" applyBorder="1" applyAlignment="1" applyProtection="1">
      <alignment horizontal="center" vertical="center"/>
      <protection locked="0" hidden="1"/>
    </xf>
    <xf numFmtId="2" fontId="8" fillId="6" borderId="22" xfId="2" applyNumberFormat="1" applyFont="1" applyFill="1" applyBorder="1" applyAlignment="1" applyProtection="1">
      <alignment horizontal="center" vertical="center" wrapText="1"/>
      <protection hidden="1"/>
    </xf>
    <xf numFmtId="2" fontId="8" fillId="6" borderId="31" xfId="2" applyNumberFormat="1" applyFont="1" applyFill="1" applyBorder="1" applyAlignment="1" applyProtection="1">
      <alignment horizontal="center" vertical="center" wrapText="1"/>
      <protection hidden="1"/>
    </xf>
    <xf numFmtId="2" fontId="8" fillId="6" borderId="21" xfId="2" applyNumberFormat="1" applyFont="1" applyFill="1" applyBorder="1" applyAlignment="1" applyProtection="1">
      <alignment horizontal="center" vertical="center" wrapText="1"/>
      <protection hidden="1"/>
    </xf>
    <xf numFmtId="2" fontId="8" fillId="6" borderId="40" xfId="2" applyNumberFormat="1" applyFont="1" applyFill="1" applyBorder="1" applyAlignment="1" applyProtection="1">
      <alignment horizontal="center" vertical="center" wrapText="1"/>
      <protection hidden="1"/>
    </xf>
    <xf numFmtId="2" fontId="8" fillId="6" borderId="22" xfId="2" applyNumberFormat="1" applyFont="1" applyFill="1" applyBorder="1" applyAlignment="1" applyProtection="1">
      <alignment horizontal="center"/>
      <protection hidden="1"/>
    </xf>
    <xf numFmtId="2" fontId="8" fillId="6" borderId="24" xfId="2" applyNumberFormat="1" applyFont="1" applyFill="1" applyBorder="1" applyAlignment="1" applyProtection="1">
      <alignment horizontal="center"/>
      <protection hidden="1"/>
    </xf>
    <xf numFmtId="2" fontId="8" fillId="6" borderId="23" xfId="2" applyNumberFormat="1" applyFont="1" applyFill="1" applyBorder="1" applyAlignment="1" applyProtection="1">
      <alignment horizontal="center"/>
      <protection hidden="1"/>
    </xf>
    <xf numFmtId="2" fontId="8" fillId="6" borderId="0" xfId="2" applyNumberFormat="1" applyFont="1" applyFill="1" applyBorder="1" applyAlignment="1" applyProtection="1">
      <alignment horizontal="center"/>
      <protection hidden="1"/>
    </xf>
    <xf numFmtId="2" fontId="7" fillId="6" borderId="14" xfId="0" applyNumberFormat="1" applyFont="1" applyFill="1" applyBorder="1" applyAlignment="1" applyProtection="1">
      <alignment horizontal="center" vertical="center"/>
      <protection hidden="1"/>
    </xf>
    <xf numFmtId="2" fontId="7" fillId="6" borderId="15" xfId="0" applyNumberFormat="1" applyFont="1" applyFill="1" applyBorder="1" applyAlignment="1" applyProtection="1">
      <alignment horizontal="center" vertical="center"/>
      <protection hidden="1"/>
    </xf>
    <xf numFmtId="2" fontId="9" fillId="6" borderId="9" xfId="0" applyNumberFormat="1" applyFont="1" applyFill="1" applyBorder="1" applyAlignment="1" applyProtection="1">
      <alignment horizontal="center" vertical="center" wrapText="1"/>
      <protection hidden="1"/>
    </xf>
    <xf numFmtId="2" fontId="9" fillId="6" borderId="11" xfId="0" applyNumberFormat="1" applyFont="1" applyFill="1" applyBorder="1" applyAlignment="1" applyProtection="1">
      <alignment horizontal="center" vertical="center" wrapText="1"/>
      <protection hidden="1"/>
    </xf>
    <xf numFmtId="2" fontId="8" fillId="6" borderId="4" xfId="2" applyNumberFormat="1" applyFont="1" applyFill="1" applyBorder="1" applyAlignment="1" applyProtection="1">
      <alignment horizontal="center" vertical="center" wrapText="1"/>
      <protection hidden="1"/>
    </xf>
    <xf numFmtId="2" fontId="8" fillId="6" borderId="39" xfId="2" applyNumberFormat="1" applyFont="1" applyFill="1" applyBorder="1" applyAlignment="1" applyProtection="1">
      <alignment horizontal="center" vertical="center" wrapText="1"/>
      <protection hidden="1"/>
    </xf>
    <xf numFmtId="2" fontId="8" fillId="6" borderId="41" xfId="2" applyNumberFormat="1" applyFont="1" applyFill="1" applyBorder="1" applyAlignment="1" applyProtection="1">
      <alignment horizontal="center" vertical="center" wrapText="1"/>
      <protection hidden="1"/>
    </xf>
    <xf numFmtId="2" fontId="8" fillId="6" borderId="42" xfId="2" applyNumberFormat="1" applyFont="1" applyFill="1" applyBorder="1" applyAlignment="1" applyProtection="1">
      <alignment horizontal="center" vertical="center" wrapText="1"/>
      <protection hidden="1"/>
    </xf>
    <xf numFmtId="2" fontId="8" fillId="6" borderId="7" xfId="2" applyNumberFormat="1" applyFont="1" applyFill="1" applyBorder="1" applyAlignment="1" applyProtection="1">
      <alignment horizontal="center" vertical="center" wrapText="1"/>
      <protection hidden="1"/>
    </xf>
    <xf numFmtId="2" fontId="8" fillId="6" borderId="12" xfId="2" applyNumberFormat="1" applyFont="1" applyFill="1" applyBorder="1" applyAlignment="1" applyProtection="1">
      <alignment horizontal="center" vertical="center" wrapText="1"/>
      <protection hidden="1"/>
    </xf>
    <xf numFmtId="2" fontId="26" fillId="3" borderId="21" xfId="0" applyNumberFormat="1" applyFont="1" applyFill="1" applyBorder="1" applyAlignment="1" applyProtection="1">
      <alignment horizontal="center" vertical="center"/>
      <protection hidden="1"/>
    </xf>
    <xf numFmtId="2" fontId="26" fillId="3" borderId="40" xfId="0" applyNumberFormat="1" applyFont="1" applyFill="1" applyBorder="1" applyAlignment="1" applyProtection="1">
      <alignment horizontal="center" vertical="center"/>
      <protection hidden="1"/>
    </xf>
    <xf numFmtId="2" fontId="26" fillId="3" borderId="6" xfId="0" applyNumberFormat="1" applyFont="1" applyFill="1" applyBorder="1" applyAlignment="1" applyProtection="1">
      <alignment horizontal="center" vertical="center"/>
      <protection hidden="1"/>
    </xf>
    <xf numFmtId="2" fontId="8" fillId="6" borderId="41" xfId="2" applyNumberFormat="1" applyFont="1" applyFill="1" applyBorder="1" applyAlignment="1" applyProtection="1">
      <alignment horizontal="center" vertical="center"/>
      <protection hidden="1"/>
    </xf>
    <xf numFmtId="2" fontId="8" fillId="6" borderId="42" xfId="2" applyNumberFormat="1" applyFont="1" applyFill="1" applyBorder="1" applyAlignment="1" applyProtection="1">
      <alignment horizontal="center" vertical="center"/>
      <protection hidden="1"/>
    </xf>
    <xf numFmtId="1" fontId="5" fillId="13" borderId="33" xfId="3" applyNumberFormat="1" applyFont="1" applyBorder="1" applyAlignment="1" applyProtection="1">
      <alignment horizontal="center" vertical="center" wrapText="1"/>
      <protection locked="0" hidden="1"/>
    </xf>
    <xf numFmtId="1" fontId="5" fillId="13" borderId="34" xfId="3" applyNumberFormat="1" applyFont="1" applyBorder="1" applyAlignment="1" applyProtection="1">
      <alignment horizontal="center" vertical="center" wrapText="1"/>
      <protection locked="0" hidden="1"/>
    </xf>
    <xf numFmtId="2" fontId="7" fillId="0" borderId="22" xfId="0" applyNumberFormat="1" applyFont="1" applyBorder="1" applyAlignment="1" applyProtection="1">
      <alignment horizontal="center"/>
      <protection hidden="1"/>
    </xf>
    <xf numFmtId="2" fontId="7" fillId="0" borderId="23" xfId="0" applyNumberFormat="1" applyFont="1" applyBorder="1" applyAlignment="1" applyProtection="1">
      <alignment horizontal="center"/>
      <protection hidden="1"/>
    </xf>
    <xf numFmtId="2" fontId="7" fillId="0" borderId="24" xfId="0" applyNumberFormat="1" applyFont="1" applyBorder="1" applyAlignment="1" applyProtection="1">
      <alignment horizontal="center"/>
      <protection hidden="1"/>
    </xf>
    <xf numFmtId="2" fontId="7" fillId="0" borderId="38" xfId="0" applyNumberFormat="1" applyFont="1" applyBorder="1" applyAlignment="1" applyProtection="1">
      <alignment horizontal="center"/>
      <protection hidden="1"/>
    </xf>
    <xf numFmtId="2" fontId="7" fillId="0" borderId="21" xfId="0" applyNumberFormat="1" applyFont="1" applyBorder="1" applyAlignment="1" applyProtection="1">
      <alignment horizontal="center"/>
      <protection hidden="1"/>
    </xf>
    <xf numFmtId="2" fontId="7" fillId="0" borderId="6" xfId="0" applyNumberFormat="1" applyFont="1" applyBorder="1" applyAlignment="1" applyProtection="1">
      <alignment horizontal="center"/>
      <protection hidden="1"/>
    </xf>
    <xf numFmtId="2" fontId="37" fillId="6" borderId="7" xfId="0" applyNumberFormat="1" applyFont="1" applyFill="1" applyBorder="1" applyAlignment="1" applyProtection="1">
      <alignment horizontal="left" vertical="center" wrapText="1"/>
      <protection hidden="1"/>
    </xf>
    <xf numFmtId="2" fontId="37" fillId="6" borderId="8" xfId="0" applyNumberFormat="1" applyFont="1" applyFill="1" applyBorder="1" applyAlignment="1" applyProtection="1">
      <alignment horizontal="left" vertical="center" wrapText="1"/>
      <protection hidden="1"/>
    </xf>
    <xf numFmtId="2" fontId="8" fillId="6" borderId="62" xfId="2" applyNumberFormat="1" applyFont="1" applyFill="1" applyBorder="1" applyAlignment="1" applyProtection="1">
      <alignment horizontal="center" vertical="center"/>
      <protection hidden="1"/>
    </xf>
    <xf numFmtId="2" fontId="8" fillId="6" borderId="3" xfId="2" applyNumberFormat="1" applyFont="1" applyFill="1" applyBorder="1" applyAlignment="1" applyProtection="1">
      <alignment horizontal="center" vertical="center"/>
      <protection hidden="1"/>
    </xf>
    <xf numFmtId="2" fontId="8" fillId="6" borderId="62" xfId="2" applyNumberFormat="1" applyFont="1" applyFill="1" applyBorder="1" applyAlignment="1" applyProtection="1">
      <alignment horizontal="center" vertical="center" wrapText="1"/>
      <protection hidden="1"/>
    </xf>
    <xf numFmtId="2" fontId="8" fillId="6" borderId="3" xfId="2" applyNumberFormat="1" applyFont="1" applyFill="1" applyBorder="1" applyAlignment="1" applyProtection="1">
      <alignment horizontal="center" vertical="center" wrapText="1"/>
      <protection hidden="1"/>
    </xf>
    <xf numFmtId="2" fontId="13" fillId="6" borderId="20" xfId="0" applyNumberFormat="1" applyFont="1" applyFill="1" applyBorder="1" applyAlignment="1" applyProtection="1">
      <alignment horizontal="center" vertical="center" wrapText="1"/>
      <protection hidden="1"/>
    </xf>
    <xf numFmtId="2" fontId="13" fillId="6" borderId="1" xfId="0" applyNumberFormat="1" applyFont="1" applyFill="1" applyBorder="1" applyAlignment="1" applyProtection="1">
      <alignment horizontal="center" vertical="center" wrapText="1"/>
      <protection hidden="1"/>
    </xf>
    <xf numFmtId="2" fontId="13" fillId="6" borderId="2" xfId="0" applyNumberFormat="1" applyFont="1" applyFill="1" applyBorder="1" applyAlignment="1" applyProtection="1">
      <alignment horizontal="center" vertical="center" wrapText="1"/>
      <protection hidden="1"/>
    </xf>
    <xf numFmtId="0" fontId="9" fillId="6" borderId="60" xfId="0" applyFont="1" applyFill="1" applyBorder="1" applyAlignment="1" applyProtection="1">
      <alignment horizontal="center"/>
      <protection hidden="1"/>
    </xf>
    <xf numFmtId="0" fontId="9" fillId="6" borderId="72" xfId="0" applyFont="1" applyFill="1" applyBorder="1" applyAlignment="1" applyProtection="1">
      <alignment horizontal="center"/>
      <protection hidden="1"/>
    </xf>
    <xf numFmtId="0" fontId="9" fillId="6" borderId="19" xfId="0" applyFont="1" applyFill="1" applyBorder="1" applyAlignment="1" applyProtection="1">
      <alignment horizontal="center"/>
      <protection hidden="1"/>
    </xf>
    <xf numFmtId="2" fontId="7" fillId="19" borderId="63" xfId="0" applyNumberFormat="1" applyFont="1" applyFill="1" applyBorder="1" applyAlignment="1" applyProtection="1">
      <alignment horizontal="center"/>
      <protection hidden="1"/>
    </xf>
    <xf numFmtId="2" fontId="7" fillId="19" borderId="60" xfId="0" applyNumberFormat="1" applyFont="1" applyFill="1" applyBorder="1" applyAlignment="1" applyProtection="1">
      <alignment horizontal="center"/>
      <protection hidden="1"/>
    </xf>
    <xf numFmtId="2" fontId="7" fillId="19" borderId="67" xfId="0" applyNumberFormat="1" applyFont="1" applyFill="1" applyBorder="1" applyAlignment="1" applyProtection="1">
      <alignment horizontal="center"/>
      <protection hidden="1"/>
    </xf>
    <xf numFmtId="2" fontId="7" fillId="6" borderId="9" xfId="0" applyNumberFormat="1" applyFont="1" applyFill="1" applyBorder="1" applyAlignment="1" applyProtection="1">
      <alignment horizontal="center"/>
      <protection hidden="1"/>
    </xf>
    <xf numFmtId="2" fontId="7" fillId="6" borderId="10" xfId="0" applyNumberFormat="1" applyFont="1" applyFill="1" applyBorder="1" applyAlignment="1" applyProtection="1">
      <alignment horizontal="center"/>
      <protection hidden="1"/>
    </xf>
    <xf numFmtId="2" fontId="7" fillId="6" borderId="11" xfId="0" applyNumberFormat="1" applyFont="1" applyFill="1" applyBorder="1" applyAlignment="1" applyProtection="1">
      <alignment horizontal="center"/>
      <protection hidden="1"/>
    </xf>
    <xf numFmtId="2" fontId="13" fillId="19" borderId="63" xfId="0" applyNumberFormat="1" applyFont="1" applyFill="1" applyBorder="1" applyAlignment="1" applyProtection="1">
      <alignment horizontal="center" vertical="center" wrapText="1"/>
      <protection hidden="1"/>
    </xf>
    <xf numFmtId="2" fontId="13" fillId="19" borderId="67" xfId="0" applyNumberFormat="1" applyFont="1" applyFill="1" applyBorder="1" applyAlignment="1" applyProtection="1">
      <alignment horizontal="center" vertical="center" wrapText="1"/>
      <protection hidden="1"/>
    </xf>
    <xf numFmtId="2" fontId="13" fillId="6" borderId="24" xfId="0" applyNumberFormat="1" applyFont="1" applyFill="1" applyBorder="1" applyAlignment="1" applyProtection="1">
      <alignment horizontal="center" vertical="center" wrapText="1"/>
      <protection hidden="1"/>
    </xf>
    <xf numFmtId="2" fontId="13" fillId="6" borderId="38" xfId="0" applyNumberFormat="1" applyFont="1" applyFill="1" applyBorder="1" applyAlignment="1" applyProtection="1">
      <alignment horizontal="center" vertical="center" wrapText="1"/>
      <protection hidden="1"/>
    </xf>
    <xf numFmtId="2" fontId="7" fillId="6" borderId="61" xfId="0" applyNumberFormat="1" applyFont="1" applyFill="1" applyBorder="1" applyAlignment="1" applyProtection="1">
      <alignment horizontal="center"/>
      <protection hidden="1"/>
    </xf>
    <xf numFmtId="2" fontId="7" fillId="6" borderId="72" xfId="0" applyNumberFormat="1" applyFont="1" applyFill="1" applyBorder="1" applyAlignment="1" applyProtection="1">
      <alignment horizontal="center"/>
      <protection hidden="1"/>
    </xf>
    <xf numFmtId="2" fontId="7" fillId="6" borderId="65" xfId="0" applyNumberFormat="1" applyFont="1" applyFill="1" applyBorder="1" applyAlignment="1" applyProtection="1">
      <alignment horizontal="center"/>
      <protection hidden="1"/>
    </xf>
    <xf numFmtId="2" fontId="13" fillId="6" borderId="14" xfId="0" applyNumberFormat="1" applyFont="1" applyFill="1" applyBorder="1" applyAlignment="1" applyProtection="1">
      <alignment horizontal="center" vertical="center" wrapText="1"/>
      <protection hidden="1"/>
    </xf>
    <xf numFmtId="2" fontId="13" fillId="6" borderId="16" xfId="0" applyNumberFormat="1" applyFont="1" applyFill="1" applyBorder="1" applyAlignment="1" applyProtection="1">
      <alignment horizontal="center" vertical="center" wrapText="1"/>
      <protection hidden="1"/>
    </xf>
    <xf numFmtId="2" fontId="18" fillId="11" borderId="9" xfId="0" applyNumberFormat="1" applyFont="1" applyFill="1" applyBorder="1" applyAlignment="1" applyProtection="1">
      <alignment horizontal="center" vertical="center"/>
      <protection hidden="1"/>
    </xf>
    <xf numFmtId="2" fontId="18" fillId="11" borderId="10" xfId="0" applyNumberFormat="1" applyFont="1" applyFill="1" applyBorder="1" applyAlignment="1" applyProtection="1">
      <alignment horizontal="center" vertical="center"/>
      <protection hidden="1"/>
    </xf>
    <xf numFmtId="2" fontId="18" fillId="11" borderId="11" xfId="0" applyNumberFormat="1" applyFont="1" applyFill="1" applyBorder="1" applyAlignment="1" applyProtection="1">
      <alignment horizontal="center" vertical="center"/>
      <protection hidden="1"/>
    </xf>
    <xf numFmtId="0" fontId="34" fillId="3" borderId="7" xfId="0" applyFont="1" applyFill="1" applyBorder="1" applyAlignment="1" applyProtection="1">
      <alignment horizontal="center" vertical="center" wrapText="1"/>
      <protection hidden="1"/>
    </xf>
    <xf numFmtId="0" fontId="34" fillId="3" borderId="8" xfId="0" applyFont="1" applyFill="1" applyBorder="1" applyAlignment="1" applyProtection="1">
      <alignment horizontal="center" vertical="center" wrapText="1"/>
      <protection hidden="1"/>
    </xf>
    <xf numFmtId="2" fontId="4" fillId="6" borderId="48" xfId="0" applyNumberFormat="1" applyFont="1" applyFill="1" applyBorder="1" applyAlignment="1" applyProtection="1">
      <alignment horizontal="left" vertical="center" wrapText="1"/>
      <protection hidden="1"/>
    </xf>
    <xf numFmtId="2" fontId="4" fillId="6" borderId="49" xfId="0" applyNumberFormat="1" applyFont="1" applyFill="1" applyBorder="1" applyAlignment="1" applyProtection="1">
      <alignment horizontal="left" vertical="center" wrapText="1"/>
      <protection hidden="1"/>
    </xf>
    <xf numFmtId="2" fontId="8" fillId="6" borderId="58" xfId="0" applyNumberFormat="1" applyFont="1" applyFill="1" applyBorder="1" applyAlignment="1" applyProtection="1">
      <alignment horizontal="center" vertical="center"/>
      <protection hidden="1"/>
    </xf>
    <xf numFmtId="2" fontId="8" fillId="6" borderId="51" xfId="0" applyNumberFormat="1" applyFont="1" applyFill="1" applyBorder="1" applyAlignment="1" applyProtection="1">
      <alignment horizontal="center" vertical="center"/>
      <protection hidden="1"/>
    </xf>
    <xf numFmtId="2" fontId="8" fillId="6" borderId="59" xfId="0" applyNumberFormat="1" applyFont="1" applyFill="1" applyBorder="1" applyAlignment="1" applyProtection="1">
      <alignment horizontal="center" vertical="center"/>
      <protection hidden="1"/>
    </xf>
    <xf numFmtId="2" fontId="8" fillId="6" borderId="2" xfId="2" applyNumberFormat="1" applyFont="1" applyFill="1" applyBorder="1" applyAlignment="1" applyProtection="1">
      <alignment horizontal="center" vertical="center"/>
      <protection hidden="1"/>
    </xf>
    <xf numFmtId="2" fontId="7" fillId="9" borderId="64" xfId="0" applyNumberFormat="1" applyFont="1" applyFill="1" applyBorder="1" applyAlignment="1" applyProtection="1">
      <alignment horizontal="center" vertical="center"/>
      <protection hidden="1"/>
    </xf>
    <xf numFmtId="2" fontId="7" fillId="9" borderId="39" xfId="0" applyNumberFormat="1" applyFont="1" applyFill="1" applyBorder="1" applyAlignment="1" applyProtection="1">
      <alignment horizontal="center" vertical="center"/>
      <protection hidden="1"/>
    </xf>
    <xf numFmtId="2" fontId="13" fillId="6" borderId="4" xfId="0" applyNumberFormat="1" applyFont="1" applyFill="1" applyBorder="1" applyAlignment="1" applyProtection="1">
      <alignment horizontal="center" vertical="center"/>
      <protection hidden="1"/>
    </xf>
    <xf numFmtId="2" fontId="13" fillId="6" borderId="39" xfId="0" applyNumberFormat="1" applyFont="1" applyFill="1" applyBorder="1" applyAlignment="1" applyProtection="1">
      <alignment horizontal="center" vertical="center"/>
      <protection hidden="1"/>
    </xf>
    <xf numFmtId="2" fontId="8" fillId="6" borderId="4" xfId="2" applyNumberFormat="1" applyFont="1" applyFill="1" applyBorder="1" applyAlignment="1" applyProtection="1">
      <alignment horizontal="center" vertical="center"/>
      <protection hidden="1"/>
    </xf>
    <xf numFmtId="2" fontId="8" fillId="6" borderId="5" xfId="2" applyNumberFormat="1" applyFont="1" applyFill="1" applyBorder="1" applyAlignment="1" applyProtection="1">
      <alignment horizontal="center" vertical="center"/>
      <protection hidden="1"/>
    </xf>
    <xf numFmtId="2" fontId="8" fillId="6" borderId="1" xfId="2" applyNumberFormat="1" applyFont="1" applyFill="1" applyBorder="1" applyAlignment="1" applyProtection="1">
      <alignment horizontal="center" vertical="center"/>
      <protection hidden="1"/>
    </xf>
    <xf numFmtId="2" fontId="7" fillId="9" borderId="19" xfId="0" applyNumberFormat="1" applyFont="1" applyFill="1" applyBorder="1" applyAlignment="1" applyProtection="1">
      <alignment horizontal="center" vertical="center"/>
      <protection hidden="1"/>
    </xf>
    <xf numFmtId="2" fontId="7" fillId="9" borderId="66" xfId="0" applyNumberFormat="1" applyFont="1" applyFill="1" applyBorder="1" applyAlignment="1" applyProtection="1">
      <alignment horizontal="center" vertical="center"/>
      <protection hidden="1"/>
    </xf>
    <xf numFmtId="1" fontId="7" fillId="9" borderId="19" xfId="0" applyNumberFormat="1" applyFont="1" applyFill="1" applyBorder="1" applyAlignment="1" applyProtection="1">
      <alignment horizontal="center" vertical="center"/>
      <protection hidden="1"/>
    </xf>
    <xf numFmtId="1" fontId="7" fillId="9" borderId="66" xfId="0" applyNumberFormat="1" applyFont="1" applyFill="1" applyBorder="1" applyAlignment="1" applyProtection="1">
      <alignment horizontal="center" vertical="center"/>
      <protection hidden="1"/>
    </xf>
    <xf numFmtId="168" fontId="7" fillId="9" borderId="19" xfId="0" applyNumberFormat="1" applyFont="1" applyFill="1" applyBorder="1" applyAlignment="1" applyProtection="1">
      <alignment horizontal="center" vertical="center"/>
      <protection hidden="1"/>
    </xf>
    <xf numFmtId="168" fontId="7" fillId="9" borderId="66" xfId="0" applyNumberFormat="1" applyFont="1" applyFill="1" applyBorder="1" applyAlignment="1" applyProtection="1">
      <alignment horizontal="center" vertical="center"/>
      <protection hidden="1"/>
    </xf>
    <xf numFmtId="0" fontId="26" fillId="3" borderId="22" xfId="0" applyFont="1" applyFill="1" applyBorder="1" applyAlignment="1" applyProtection="1">
      <alignment horizontal="center" vertical="center"/>
      <protection hidden="1"/>
    </xf>
    <xf numFmtId="0" fontId="26" fillId="3" borderId="31" xfId="0" applyFont="1" applyFill="1" applyBorder="1" applyAlignment="1" applyProtection="1">
      <alignment horizontal="center" vertical="center"/>
      <protection hidden="1"/>
    </xf>
    <xf numFmtId="0" fontId="26" fillId="3" borderId="23" xfId="0" applyFont="1" applyFill="1" applyBorder="1" applyAlignment="1" applyProtection="1">
      <alignment horizontal="center" vertical="center"/>
      <protection hidden="1"/>
    </xf>
    <xf numFmtId="1" fontId="7" fillId="9" borderId="5" xfId="0" applyNumberFormat="1"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4" fillId="19" borderId="8" xfId="0" applyFont="1" applyFill="1" applyBorder="1" applyAlignment="1" applyProtection="1">
      <alignment horizontal="center" vertical="center" wrapText="1"/>
      <protection hidden="1"/>
    </xf>
    <xf numFmtId="2" fontId="7" fillId="6" borderId="14" xfId="0" applyNumberFormat="1" applyFont="1" applyFill="1" applyBorder="1" applyAlignment="1" applyProtection="1">
      <alignment horizontal="center" vertical="center" wrapText="1"/>
      <protection hidden="1"/>
    </xf>
    <xf numFmtId="2" fontId="7" fillId="6" borderId="16" xfId="0" applyNumberFormat="1" applyFont="1" applyFill="1" applyBorder="1" applyAlignment="1" applyProtection="1">
      <alignment horizontal="center" vertical="center" wrapText="1"/>
      <protection hidden="1"/>
    </xf>
    <xf numFmtId="2" fontId="8" fillId="6" borderId="9" xfId="0" applyNumberFormat="1" applyFont="1" applyFill="1" applyBorder="1" applyAlignment="1" applyProtection="1">
      <alignment horizontal="center" vertical="center"/>
      <protection hidden="1"/>
    </xf>
    <xf numFmtId="2" fontId="8" fillId="6" borderId="10"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protection hidden="1"/>
    </xf>
    <xf numFmtId="2" fontId="26" fillId="3" borderId="23" xfId="0" applyNumberFormat="1" applyFont="1" applyFill="1" applyBorder="1" applyAlignment="1" applyProtection="1">
      <alignment horizontal="center" vertical="center"/>
      <protection hidden="1"/>
    </xf>
    <xf numFmtId="2" fontId="26" fillId="8" borderId="14" xfId="0" applyNumberFormat="1" applyFont="1" applyFill="1" applyBorder="1" applyAlignment="1" applyProtection="1">
      <alignment horizontal="center" vertical="center"/>
      <protection hidden="1"/>
    </xf>
    <xf numFmtId="2" fontId="26" fillId="8" borderId="16" xfId="0" applyNumberFormat="1" applyFont="1" applyFill="1" applyBorder="1" applyAlignment="1" applyProtection="1">
      <alignment horizontal="center" vertical="center"/>
      <protection hidden="1"/>
    </xf>
    <xf numFmtId="2" fontId="26" fillId="3" borderId="24" xfId="0" applyNumberFormat="1" applyFont="1" applyFill="1" applyBorder="1" applyAlignment="1" applyProtection="1">
      <alignment horizontal="center" vertical="center"/>
      <protection hidden="1"/>
    </xf>
    <xf numFmtId="2" fontId="26" fillId="3" borderId="0" xfId="0" applyNumberFormat="1" applyFont="1" applyFill="1" applyBorder="1" applyAlignment="1" applyProtection="1">
      <alignment horizontal="center" vertical="center"/>
      <protection hidden="1"/>
    </xf>
    <xf numFmtId="2" fontId="26" fillId="3" borderId="38" xfId="0" applyNumberFormat="1" applyFont="1" applyFill="1" applyBorder="1" applyAlignment="1" applyProtection="1">
      <alignment horizontal="center" vertical="center"/>
      <protection hidden="1"/>
    </xf>
    <xf numFmtId="2" fontId="7" fillId="13" borderId="14" xfId="3" applyFont="1" applyBorder="1" applyAlignment="1" applyProtection="1">
      <alignment horizontal="center" vertical="center" wrapText="1"/>
      <protection locked="0" hidden="1"/>
    </xf>
    <xf numFmtId="2" fontId="7" fillId="13" borderId="16" xfId="3" applyFont="1" applyBorder="1" applyAlignment="1" applyProtection="1">
      <alignment horizontal="center" vertical="center" wrapText="1"/>
      <protection locked="0" hidden="1"/>
    </xf>
    <xf numFmtId="2" fontId="7" fillId="6" borderId="14" xfId="0" applyNumberFormat="1" applyFont="1" applyFill="1" applyBorder="1" applyAlignment="1" applyProtection="1">
      <alignment horizontal="center"/>
      <protection hidden="1"/>
    </xf>
    <xf numFmtId="2" fontId="7" fillId="6" borderId="15" xfId="0" applyNumberFormat="1" applyFont="1" applyFill="1" applyBorder="1" applyAlignment="1" applyProtection="1">
      <alignment horizontal="center"/>
      <protection hidden="1"/>
    </xf>
    <xf numFmtId="2" fontId="7" fillId="6" borderId="73" xfId="0" applyNumberFormat="1" applyFont="1" applyFill="1" applyBorder="1" applyAlignment="1" applyProtection="1">
      <alignment horizontal="center"/>
      <protection hidden="1"/>
    </xf>
    <xf numFmtId="2" fontId="18" fillId="6" borderId="9" xfId="0" applyNumberFormat="1" applyFont="1" applyFill="1" applyBorder="1" applyAlignment="1" applyProtection="1">
      <alignment horizontal="center" vertical="center"/>
      <protection hidden="1"/>
    </xf>
    <xf numFmtId="2" fontId="18" fillId="6" borderId="11" xfId="0" applyNumberFormat="1" applyFont="1" applyFill="1" applyBorder="1" applyAlignment="1" applyProtection="1">
      <alignment horizontal="center" vertical="center"/>
      <protection hidden="1"/>
    </xf>
    <xf numFmtId="2" fontId="18" fillId="19" borderId="22" xfId="0" applyNumberFormat="1" applyFont="1" applyFill="1" applyBorder="1" applyAlignment="1" applyProtection="1">
      <alignment horizontal="center" vertical="center" wrapText="1"/>
      <protection hidden="1"/>
    </xf>
    <xf numFmtId="2" fontId="18" fillId="19" borderId="24" xfId="0" applyNumberFormat="1" applyFont="1" applyFill="1" applyBorder="1" applyAlignment="1" applyProtection="1">
      <alignment horizontal="center" vertical="center" wrapText="1"/>
      <protection hidden="1"/>
    </xf>
    <xf numFmtId="2" fontId="54" fillId="19" borderId="33" xfId="0" applyNumberFormat="1" applyFont="1" applyFill="1" applyBorder="1" applyAlignment="1" applyProtection="1">
      <alignment horizontal="center" vertical="center"/>
      <protection hidden="1"/>
    </xf>
    <xf numFmtId="2" fontId="54" fillId="19" borderId="56" xfId="0" applyNumberFormat="1" applyFont="1" applyFill="1" applyBorder="1" applyAlignment="1" applyProtection="1">
      <alignment horizontal="center" vertical="center"/>
      <protection hidden="1"/>
    </xf>
    <xf numFmtId="2" fontId="55" fillId="3" borderId="61" xfId="0" applyNumberFormat="1" applyFont="1" applyFill="1" applyBorder="1" applyAlignment="1" applyProtection="1">
      <alignment horizontal="center" vertical="center"/>
      <protection hidden="1"/>
    </xf>
    <xf numFmtId="2" fontId="20" fillId="3" borderId="72" xfId="0" applyNumberFormat="1" applyFont="1" applyFill="1" applyBorder="1" applyAlignment="1" applyProtection="1">
      <alignment horizontal="center" vertical="center"/>
      <protection hidden="1"/>
    </xf>
    <xf numFmtId="2" fontId="20" fillId="3" borderId="65" xfId="0" applyNumberFormat="1" applyFont="1" applyFill="1" applyBorder="1" applyAlignment="1" applyProtection="1">
      <alignment horizontal="center" vertical="center"/>
      <protection hidden="1"/>
    </xf>
    <xf numFmtId="2" fontId="18" fillId="19" borderId="5" xfId="0" applyNumberFormat="1" applyFont="1" applyFill="1" applyBorder="1" applyAlignment="1" applyProtection="1">
      <alignment horizontal="center" vertical="center"/>
      <protection hidden="1"/>
    </xf>
    <xf numFmtId="2" fontId="18" fillId="19" borderId="32" xfId="0" applyNumberFormat="1" applyFont="1" applyFill="1" applyBorder="1" applyAlignment="1" applyProtection="1">
      <alignment horizontal="center" vertical="center"/>
      <protection hidden="1"/>
    </xf>
    <xf numFmtId="2" fontId="8" fillId="6" borderId="41" xfId="2" applyNumberFormat="1" applyFont="1" applyFill="1" applyBorder="1" applyAlignment="1" applyProtection="1">
      <alignment horizontal="center" vertical="center"/>
      <protection locked="0" hidden="1"/>
    </xf>
    <xf numFmtId="2" fontId="8" fillId="6" borderId="42" xfId="2" applyNumberFormat="1" applyFont="1" applyFill="1" applyBorder="1" applyAlignment="1" applyProtection="1">
      <alignment horizontal="center" vertical="center"/>
      <protection locked="0" hidden="1"/>
    </xf>
    <xf numFmtId="2" fontId="8" fillId="6" borderId="63" xfId="2" applyNumberFormat="1" applyFont="1" applyFill="1" applyBorder="1" applyAlignment="1" applyProtection="1">
      <alignment horizontal="center" vertical="center" wrapText="1"/>
      <protection hidden="1"/>
    </xf>
    <xf numFmtId="2" fontId="8" fillId="6" borderId="13" xfId="2" applyNumberFormat="1" applyFont="1" applyFill="1" applyBorder="1" applyAlignment="1" applyProtection="1">
      <alignment horizontal="center" vertical="center" wrapText="1"/>
      <protection hidden="1"/>
    </xf>
    <xf numFmtId="2" fontId="54" fillId="19" borderId="14" xfId="0" applyNumberFormat="1" applyFont="1" applyFill="1" applyBorder="1" applyAlignment="1" applyProtection="1">
      <alignment horizontal="center" vertical="center" wrapText="1"/>
      <protection hidden="1"/>
    </xf>
    <xf numFmtId="2" fontId="54" fillId="19" borderId="15" xfId="0" applyNumberFormat="1" applyFont="1" applyFill="1" applyBorder="1" applyAlignment="1" applyProtection="1">
      <alignment horizontal="center" vertical="center" wrapText="1"/>
      <protection hidden="1"/>
    </xf>
    <xf numFmtId="2" fontId="54" fillId="19" borderId="16" xfId="0" applyNumberFormat="1" applyFont="1" applyFill="1" applyBorder="1" applyAlignment="1" applyProtection="1">
      <alignment horizontal="center" vertical="center" wrapText="1"/>
      <protection hidden="1"/>
    </xf>
    <xf numFmtId="2" fontId="18" fillId="19" borderId="14" xfId="0" applyNumberFormat="1" applyFont="1" applyFill="1" applyBorder="1" applyAlignment="1" applyProtection="1">
      <alignment horizontal="center" vertical="center"/>
      <protection hidden="1"/>
    </xf>
    <xf numFmtId="2" fontId="18" fillId="19" borderId="16" xfId="0" applyNumberFormat="1" applyFont="1" applyFill="1" applyBorder="1" applyAlignment="1" applyProtection="1">
      <alignment horizontal="center" vertical="center"/>
      <protection hidden="1"/>
    </xf>
    <xf numFmtId="2" fontId="18" fillId="19" borderId="60" xfId="0" applyNumberFormat="1" applyFont="1" applyFill="1" applyBorder="1" applyAlignment="1" applyProtection="1">
      <alignment horizontal="center" vertical="center"/>
      <protection hidden="1"/>
    </xf>
    <xf numFmtId="2" fontId="18" fillId="19" borderId="67" xfId="0" applyNumberFormat="1" applyFont="1" applyFill="1" applyBorder="1" applyAlignment="1" applyProtection="1">
      <alignment horizontal="center" vertical="center"/>
      <protection hidden="1"/>
    </xf>
    <xf numFmtId="2" fontId="13" fillId="6" borderId="22" xfId="0" applyNumberFormat="1" applyFont="1" applyFill="1" applyBorder="1" applyAlignment="1" applyProtection="1">
      <alignment horizontal="center" vertical="center" wrapText="1"/>
      <protection hidden="1"/>
    </xf>
    <xf numFmtId="2" fontId="13" fillId="6" borderId="23" xfId="0" applyNumberFormat="1" applyFont="1" applyFill="1" applyBorder="1" applyAlignment="1" applyProtection="1">
      <alignment horizontal="center" vertical="center" wrapText="1"/>
      <protection hidden="1"/>
    </xf>
    <xf numFmtId="2" fontId="26" fillId="8" borderId="15" xfId="0" applyNumberFormat="1" applyFont="1" applyFill="1" applyBorder="1" applyAlignment="1" applyProtection="1">
      <alignment horizontal="center" vertical="center"/>
      <protection hidden="1"/>
    </xf>
    <xf numFmtId="2" fontId="7" fillId="2" borderId="22" xfId="0" applyNumberFormat="1" applyFont="1" applyFill="1" applyBorder="1" applyAlignment="1" applyProtection="1">
      <alignment horizontal="left" vertical="top" wrapText="1"/>
      <protection locked="0" hidden="1"/>
    </xf>
    <xf numFmtId="2" fontId="7" fillId="2" borderId="31" xfId="0" applyNumberFormat="1" applyFont="1" applyFill="1" applyBorder="1" applyAlignment="1" applyProtection="1">
      <alignment horizontal="left" vertical="top" wrapText="1"/>
      <protection locked="0" hidden="1"/>
    </xf>
    <xf numFmtId="2" fontId="7" fillId="2" borderId="23" xfId="0" applyNumberFormat="1" applyFont="1" applyFill="1" applyBorder="1" applyAlignment="1" applyProtection="1">
      <alignment horizontal="left" vertical="top" wrapText="1"/>
      <protection locked="0" hidden="1"/>
    </xf>
    <xf numFmtId="2" fontId="7" fillId="2" borderId="24" xfId="0" applyNumberFormat="1" applyFont="1" applyFill="1" applyBorder="1" applyAlignment="1" applyProtection="1">
      <alignment horizontal="left" vertical="top" wrapText="1"/>
      <protection locked="0" hidden="1"/>
    </xf>
    <xf numFmtId="2" fontId="7" fillId="2" borderId="0" xfId="0" applyNumberFormat="1" applyFont="1" applyFill="1" applyBorder="1" applyAlignment="1" applyProtection="1">
      <alignment horizontal="left" vertical="top" wrapText="1"/>
      <protection locked="0" hidden="1"/>
    </xf>
    <xf numFmtId="2" fontId="7" fillId="2" borderId="38" xfId="0" applyNumberFormat="1" applyFont="1" applyFill="1" applyBorder="1" applyAlignment="1" applyProtection="1">
      <alignment horizontal="left" vertical="top" wrapText="1"/>
      <protection locked="0" hidden="1"/>
    </xf>
    <xf numFmtId="2" fontId="7" fillId="2" borderId="21" xfId="0" applyNumberFormat="1" applyFont="1" applyFill="1" applyBorder="1" applyAlignment="1" applyProtection="1">
      <alignment horizontal="left" vertical="top" wrapText="1"/>
      <protection locked="0" hidden="1"/>
    </xf>
    <xf numFmtId="2" fontId="7" fillId="2" borderId="40" xfId="0" applyNumberFormat="1" applyFont="1" applyFill="1" applyBorder="1" applyAlignment="1" applyProtection="1">
      <alignment horizontal="left" vertical="top" wrapText="1"/>
      <protection locked="0" hidden="1"/>
    </xf>
    <xf numFmtId="2" fontId="7" fillId="2" borderId="6" xfId="0" applyNumberFormat="1" applyFont="1" applyFill="1" applyBorder="1" applyAlignment="1" applyProtection="1">
      <alignment horizontal="left" vertical="top" wrapText="1"/>
      <protection locked="0" hidden="1"/>
    </xf>
    <xf numFmtId="0" fontId="45" fillId="8" borderId="14" xfId="0" applyFont="1" applyFill="1" applyBorder="1" applyAlignment="1" applyProtection="1">
      <alignment horizontal="center" vertical="center" wrapText="1"/>
      <protection hidden="1"/>
    </xf>
    <xf numFmtId="0" fontId="45" fillId="8" borderId="15" xfId="0" applyFont="1" applyFill="1" applyBorder="1" applyAlignment="1" applyProtection="1">
      <alignment horizontal="center" vertical="center" wrapText="1"/>
      <protection hidden="1"/>
    </xf>
    <xf numFmtId="0" fontId="45" fillId="8" borderId="16" xfId="0" applyFont="1" applyFill="1" applyBorder="1" applyAlignment="1" applyProtection="1">
      <alignment horizontal="center" vertical="center" wrapText="1"/>
      <protection hidden="1"/>
    </xf>
    <xf numFmtId="2" fontId="7" fillId="6" borderId="62" xfId="0" applyNumberFormat="1" applyFont="1" applyFill="1" applyBorder="1" applyAlignment="1" applyProtection="1">
      <alignment horizontal="center"/>
      <protection hidden="1"/>
    </xf>
    <xf numFmtId="2" fontId="7" fillId="6" borderId="19" xfId="0" applyNumberFormat="1" applyFont="1" applyFill="1" applyBorder="1" applyAlignment="1" applyProtection="1">
      <alignment horizontal="center"/>
      <protection hidden="1"/>
    </xf>
    <xf numFmtId="2" fontId="7" fillId="6" borderId="66" xfId="0" applyNumberFormat="1" applyFont="1" applyFill="1" applyBorder="1" applyAlignment="1" applyProtection="1">
      <alignment horizontal="center"/>
      <protection hidden="1"/>
    </xf>
    <xf numFmtId="168" fontId="42" fillId="19" borderId="14" xfId="0" applyNumberFormat="1" applyFont="1" applyFill="1" applyBorder="1" applyAlignment="1" applyProtection="1">
      <alignment horizontal="left" vertical="center" wrapText="1"/>
      <protection hidden="1"/>
    </xf>
    <xf numFmtId="168" fontId="42" fillId="19" borderId="16" xfId="0" applyNumberFormat="1" applyFont="1" applyFill="1" applyBorder="1" applyAlignment="1" applyProtection="1">
      <alignment horizontal="left" vertical="center" wrapText="1"/>
      <protection hidden="1"/>
    </xf>
    <xf numFmtId="0" fontId="27" fillId="0" borderId="22" xfId="0" applyFont="1" applyBorder="1" applyAlignment="1" applyProtection="1">
      <alignment horizontal="center" vertical="center" wrapText="1"/>
      <protection hidden="1"/>
    </xf>
    <xf numFmtId="0" fontId="30" fillId="0" borderId="31" xfId="0" applyFont="1" applyBorder="1" applyAlignment="1" applyProtection="1">
      <alignment horizontal="center" vertical="center" wrapText="1"/>
      <protection hidden="1"/>
    </xf>
    <xf numFmtId="0" fontId="30" fillId="0" borderId="23" xfId="0" applyFont="1" applyBorder="1" applyAlignment="1" applyProtection="1">
      <alignment horizontal="center" vertical="center" wrapText="1"/>
      <protection hidden="1"/>
    </xf>
    <xf numFmtId="2" fontId="27" fillId="19" borderId="14" xfId="0" applyNumberFormat="1" applyFont="1" applyFill="1" applyBorder="1" applyAlignment="1" applyProtection="1">
      <alignment horizontal="center" vertical="center" wrapText="1"/>
      <protection hidden="1"/>
    </xf>
    <xf numFmtId="2" fontId="27" fillId="19" borderId="16" xfId="0" applyNumberFormat="1" applyFont="1" applyFill="1" applyBorder="1" applyAlignment="1" applyProtection="1">
      <alignment horizontal="center" vertical="center" wrapText="1"/>
      <protection hidden="1"/>
    </xf>
    <xf numFmtId="0" fontId="27" fillId="0" borderId="0" xfId="0" applyFont="1" applyAlignment="1" applyProtection="1">
      <alignment horizontal="center" vertical="center" wrapText="1"/>
      <protection hidden="1"/>
    </xf>
    <xf numFmtId="0" fontId="27" fillId="0" borderId="0" xfId="0" applyFont="1" applyBorder="1" applyAlignment="1" applyProtection="1">
      <alignment horizontal="center"/>
      <protection hidden="1"/>
    </xf>
    <xf numFmtId="0" fontId="30" fillId="0" borderId="0" xfId="0" applyFont="1" applyAlignment="1" applyProtection="1">
      <alignment horizontal="center" vertical="center" wrapText="1"/>
      <protection hidden="1"/>
    </xf>
    <xf numFmtId="0" fontId="30" fillId="2" borderId="0" xfId="0" applyFont="1" applyFill="1" applyAlignment="1" applyProtection="1">
      <alignment horizontal="justify" vertical="center" wrapText="1"/>
      <protection locked="0" hidden="1"/>
    </xf>
    <xf numFmtId="0" fontId="48" fillId="2" borderId="0" xfId="0" applyFont="1" applyFill="1" applyAlignment="1" applyProtection="1">
      <alignment horizontal="justify" vertical="center" wrapText="1"/>
      <protection hidden="1"/>
    </xf>
    <xf numFmtId="0" fontId="48" fillId="2" borderId="0" xfId="0" applyFont="1" applyFill="1" applyAlignment="1" applyProtection="1">
      <alignment horizontal="justify" vertical="center" wrapText="1"/>
      <protection locked="0" hidden="1"/>
    </xf>
    <xf numFmtId="0" fontId="27" fillId="2" borderId="0" xfId="0" applyFont="1" applyFill="1" applyAlignment="1" applyProtection="1">
      <alignment horizontal="left"/>
      <protection hidden="1"/>
    </xf>
    <xf numFmtId="168" fontId="30" fillId="0" borderId="0" xfId="0" applyNumberFormat="1" applyFont="1" applyAlignment="1" applyProtection="1">
      <alignment horizontal="left"/>
      <protection hidden="1"/>
    </xf>
    <xf numFmtId="0" fontId="30" fillId="0" borderId="0" xfId="0" applyFont="1" applyBorder="1" applyAlignment="1" applyProtection="1">
      <alignment horizontal="center"/>
      <protection hidden="1"/>
    </xf>
    <xf numFmtId="14" fontId="30" fillId="2" borderId="0" xfId="0" applyNumberFormat="1" applyFont="1" applyFill="1" applyAlignment="1" applyProtection="1">
      <alignment horizontal="left" vertical="center" wrapText="1"/>
      <protection hidden="1"/>
    </xf>
    <xf numFmtId="0" fontId="48" fillId="2" borderId="0" xfId="0" applyFont="1" applyFill="1" applyAlignment="1" applyProtection="1">
      <alignment horizontal="justify" vertical="justify" wrapText="1"/>
      <protection locked="0" hidden="1"/>
    </xf>
    <xf numFmtId="0" fontId="27" fillId="0" borderId="0" xfId="0" applyFont="1" applyAlignment="1" applyProtection="1">
      <alignment horizontal="left" vertical="center" wrapText="1"/>
      <protection hidden="1"/>
    </xf>
    <xf numFmtId="0" fontId="17" fillId="0" borderId="14" xfId="0" applyFont="1" applyBorder="1" applyAlignment="1" applyProtection="1">
      <alignment horizontal="center" vertical="center" wrapText="1"/>
      <protection hidden="1"/>
    </xf>
    <xf numFmtId="0" fontId="17" fillId="0" borderId="15" xfId="0" applyFont="1" applyBorder="1" applyAlignment="1" applyProtection="1">
      <alignment horizontal="center" vertical="center" wrapText="1"/>
      <protection hidden="1"/>
    </xf>
    <xf numFmtId="0" fontId="17" fillId="0" borderId="16" xfId="0" applyFont="1" applyBorder="1" applyAlignment="1" applyProtection="1">
      <alignment horizontal="center" vertical="center" wrapText="1"/>
      <protection hidden="1"/>
    </xf>
    <xf numFmtId="0" fontId="48" fillId="2" borderId="0" xfId="0" applyFont="1" applyFill="1" applyBorder="1" applyAlignment="1" applyProtection="1">
      <alignment horizontal="justify" vertical="justify" wrapText="1"/>
      <protection locked="0" hidden="1"/>
    </xf>
    <xf numFmtId="2" fontId="27" fillId="2" borderId="0" xfId="0" applyNumberFormat="1" applyFont="1" applyFill="1" applyAlignment="1" applyProtection="1">
      <alignment horizontal="right" vertical="center"/>
      <protection hidden="1"/>
    </xf>
    <xf numFmtId="0" fontId="48" fillId="2" borderId="0" xfId="0" applyFont="1" applyFill="1" applyBorder="1" applyAlignment="1" applyProtection="1">
      <alignment horizontal="justify" vertical="center" wrapText="1"/>
      <protection locked="0" hidden="1"/>
    </xf>
    <xf numFmtId="0" fontId="27" fillId="2" borderId="0" xfId="0" applyFont="1" applyFill="1" applyBorder="1" applyAlignment="1" applyProtection="1">
      <alignment horizontal="left" vertical="center" wrapText="1"/>
      <protection hidden="1"/>
    </xf>
    <xf numFmtId="0" fontId="30" fillId="0" borderId="0" xfId="0" applyFont="1" applyFill="1" applyAlignment="1" applyProtection="1">
      <alignment horizontal="left" vertical="top" wrapText="1"/>
      <protection hidden="1"/>
    </xf>
    <xf numFmtId="0" fontId="14" fillId="2" borderId="0" xfId="0" applyFont="1" applyFill="1" applyAlignment="1">
      <alignment horizontal="justify" vertical="center" wrapText="1"/>
    </xf>
    <xf numFmtId="0" fontId="30" fillId="0" borderId="0" xfId="0" applyFont="1" applyAlignment="1" applyProtection="1">
      <alignment horizontal="center"/>
      <protection hidden="1"/>
    </xf>
    <xf numFmtId="0" fontId="27" fillId="2" borderId="0" xfId="0" applyFont="1" applyFill="1" applyAlignment="1" applyProtection="1">
      <alignment horizontal="left" vertical="center" wrapText="1"/>
      <protection hidden="1"/>
    </xf>
    <xf numFmtId="0" fontId="30" fillId="2" borderId="14" xfId="0" applyFont="1" applyFill="1" applyBorder="1" applyAlignment="1" applyProtection="1">
      <alignment horizontal="left" vertical="center" wrapText="1"/>
      <protection hidden="1"/>
    </xf>
    <xf numFmtId="0" fontId="30" fillId="2" borderId="16" xfId="0" applyFont="1" applyFill="1" applyBorder="1" applyAlignment="1" applyProtection="1">
      <alignment horizontal="left" vertical="center" wrapText="1"/>
      <protection hidden="1"/>
    </xf>
    <xf numFmtId="0" fontId="27" fillId="2" borderId="14" xfId="0" applyFont="1" applyFill="1" applyBorder="1" applyAlignment="1" applyProtection="1">
      <alignment horizontal="left" vertical="center" wrapText="1"/>
      <protection hidden="1"/>
    </xf>
    <xf numFmtId="0" fontId="27" fillId="2" borderId="16" xfId="0" applyFont="1" applyFill="1" applyBorder="1" applyAlignment="1" applyProtection="1">
      <alignment horizontal="left" vertical="center" wrapText="1"/>
      <protection hidden="1"/>
    </xf>
    <xf numFmtId="2" fontId="17" fillId="19" borderId="14" xfId="0" applyNumberFormat="1" applyFont="1" applyFill="1" applyBorder="1" applyAlignment="1" applyProtection="1">
      <alignment horizontal="center" vertical="center" wrapText="1"/>
      <protection hidden="1"/>
    </xf>
    <xf numFmtId="2" fontId="17" fillId="19" borderId="15" xfId="0" applyNumberFormat="1" applyFont="1" applyFill="1" applyBorder="1" applyAlignment="1" applyProtection="1">
      <alignment horizontal="center" vertical="center" wrapText="1"/>
      <protection hidden="1"/>
    </xf>
    <xf numFmtId="2" fontId="17" fillId="19" borderId="16" xfId="0" applyNumberFormat="1" applyFont="1" applyFill="1" applyBorder="1" applyAlignment="1" applyProtection="1">
      <alignment horizontal="center" vertical="center" wrapText="1"/>
      <protection hidden="1"/>
    </xf>
    <xf numFmtId="2" fontId="65" fillId="19" borderId="14" xfId="0" applyNumberFormat="1" applyFont="1" applyFill="1" applyBorder="1" applyAlignment="1" applyProtection="1">
      <alignment horizontal="center" vertical="center" wrapText="1"/>
      <protection hidden="1"/>
    </xf>
    <xf numFmtId="2" fontId="65" fillId="19" borderId="15" xfId="0" applyNumberFormat="1" applyFont="1" applyFill="1" applyBorder="1" applyAlignment="1" applyProtection="1">
      <alignment horizontal="center" vertical="center" wrapText="1"/>
      <protection hidden="1"/>
    </xf>
    <xf numFmtId="2" fontId="65" fillId="19" borderId="16" xfId="0" applyNumberFormat="1" applyFont="1" applyFill="1" applyBorder="1" applyAlignment="1" applyProtection="1">
      <alignment horizontal="center" vertical="center" wrapText="1"/>
      <protection hidden="1"/>
    </xf>
    <xf numFmtId="0" fontId="17" fillId="0" borderId="14" xfId="0" applyFont="1" applyBorder="1" applyAlignment="1" applyProtection="1">
      <alignment horizontal="center" vertical="center"/>
      <protection hidden="1"/>
    </xf>
    <xf numFmtId="0" fontId="17" fillId="0" borderId="15" xfId="0" applyFont="1" applyBorder="1" applyAlignment="1" applyProtection="1">
      <alignment horizontal="center" vertical="center"/>
      <protection hidden="1"/>
    </xf>
    <xf numFmtId="0" fontId="17" fillId="0" borderId="16" xfId="0" applyFont="1" applyBorder="1" applyAlignment="1" applyProtection="1">
      <alignment horizontal="center" vertical="center"/>
      <protection hidden="1"/>
    </xf>
    <xf numFmtId="0" fontId="17" fillId="0" borderId="9" xfId="0" applyFont="1" applyBorder="1" applyAlignment="1" applyProtection="1">
      <alignment horizontal="center" vertical="center"/>
      <protection hidden="1"/>
    </xf>
    <xf numFmtId="0" fontId="17" fillId="0" borderId="10" xfId="0" applyFont="1" applyBorder="1" applyAlignment="1" applyProtection="1">
      <alignment horizontal="center" vertical="center"/>
      <protection hidden="1"/>
    </xf>
    <xf numFmtId="0" fontId="17" fillId="0" borderId="47" xfId="0" applyFont="1" applyBorder="1" applyAlignment="1" applyProtection="1">
      <alignment horizontal="center" vertical="center"/>
      <protection hidden="1"/>
    </xf>
    <xf numFmtId="169" fontId="30" fillId="0" borderId="0" xfId="0" applyNumberFormat="1" applyFont="1" applyBorder="1" applyAlignment="1" applyProtection="1">
      <alignment horizontal="center" vertical="center" wrapText="1"/>
      <protection hidden="1"/>
    </xf>
    <xf numFmtId="0" fontId="8" fillId="2" borderId="9"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left" vertical="center" wrapText="1"/>
      <protection hidden="1"/>
    </xf>
    <xf numFmtId="0" fontId="49" fillId="19" borderId="0" xfId="0" applyFont="1" applyFill="1" applyAlignment="1" applyProtection="1">
      <alignment horizontal="left" vertical="center" wrapText="1"/>
      <protection hidden="1"/>
    </xf>
    <xf numFmtId="0" fontId="27" fillId="0" borderId="14" xfId="0" applyFont="1" applyBorder="1" applyAlignment="1" applyProtection="1">
      <alignment horizontal="left" vertical="center" wrapText="1"/>
      <protection hidden="1"/>
    </xf>
    <xf numFmtId="0" fontId="27" fillId="0" borderId="16" xfId="0" applyFont="1" applyBorder="1" applyAlignment="1" applyProtection="1">
      <alignment horizontal="left" vertical="center" wrapText="1"/>
      <protection hidden="1"/>
    </xf>
    <xf numFmtId="0" fontId="27" fillId="2" borderId="21" xfId="0" applyFont="1" applyFill="1" applyBorder="1" applyAlignment="1" applyProtection="1">
      <alignment horizontal="left" vertical="center" wrapText="1"/>
      <protection hidden="1"/>
    </xf>
    <xf numFmtId="0" fontId="27" fillId="2" borderId="6" xfId="0" applyFont="1" applyFill="1" applyBorder="1" applyAlignment="1" applyProtection="1">
      <alignment horizontal="left" vertical="center" wrapText="1"/>
      <protection hidden="1"/>
    </xf>
    <xf numFmtId="2" fontId="30" fillId="0" borderId="14" xfId="0" applyNumberFormat="1" applyFont="1" applyBorder="1" applyAlignment="1" applyProtection="1">
      <alignment horizontal="left" vertical="center" wrapText="1"/>
      <protection hidden="1"/>
    </xf>
    <xf numFmtId="2" fontId="30" fillId="0" borderId="16" xfId="0" applyNumberFormat="1" applyFont="1" applyBorder="1" applyAlignment="1" applyProtection="1">
      <alignment horizontal="left" vertical="center" wrapText="1"/>
      <protection hidden="1"/>
    </xf>
    <xf numFmtId="1" fontId="30" fillId="2" borderId="14" xfId="0" applyNumberFormat="1" applyFont="1" applyFill="1" applyBorder="1" applyAlignment="1" applyProtection="1">
      <alignment horizontal="left" vertical="center" wrapText="1"/>
      <protection hidden="1"/>
    </xf>
    <xf numFmtId="1" fontId="30" fillId="2" borderId="16" xfId="0" applyNumberFormat="1" applyFont="1" applyFill="1" applyBorder="1" applyAlignment="1" applyProtection="1">
      <alignment horizontal="left" vertical="center" wrapText="1"/>
      <protection hidden="1"/>
    </xf>
    <xf numFmtId="168" fontId="30" fillId="2" borderId="14" xfId="0" applyNumberFormat="1" applyFont="1" applyFill="1" applyBorder="1" applyAlignment="1" applyProtection="1">
      <alignment horizontal="left" vertical="center" wrapText="1"/>
      <protection hidden="1"/>
    </xf>
    <xf numFmtId="168" fontId="30" fillId="2" borderId="16" xfId="0" applyNumberFormat="1" applyFont="1" applyFill="1" applyBorder="1" applyAlignment="1" applyProtection="1">
      <alignment horizontal="left" vertical="center" wrapText="1"/>
      <protection hidden="1"/>
    </xf>
    <xf numFmtId="0" fontId="48" fillId="0" borderId="0" xfId="0" applyFont="1" applyBorder="1" applyAlignment="1" applyProtection="1">
      <alignment horizontal="justify" vertical="center" wrapText="1"/>
      <protection locked="0" hidden="1"/>
    </xf>
    <xf numFmtId="0" fontId="48" fillId="0" borderId="0" xfId="0" applyFont="1" applyFill="1" applyAlignment="1" applyProtection="1">
      <alignment horizontal="justify" vertical="center" wrapText="1"/>
      <protection locked="0" hidden="1"/>
    </xf>
    <xf numFmtId="14" fontId="30" fillId="2" borderId="0" xfId="0" applyNumberFormat="1" applyFont="1" applyFill="1" applyBorder="1" applyAlignment="1" applyProtection="1">
      <alignment horizontal="justify" vertical="center" wrapText="1"/>
      <protection hidden="1"/>
    </xf>
    <xf numFmtId="0" fontId="30" fillId="2" borderId="0" xfId="0" applyFont="1" applyFill="1" applyBorder="1" applyAlignment="1" applyProtection="1">
      <alignment horizontal="justify" vertical="center" wrapText="1"/>
      <protection hidden="1"/>
    </xf>
    <xf numFmtId="0" fontId="30" fillId="2" borderId="0" xfId="0" applyFont="1" applyFill="1" applyBorder="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xf numFmtId="0" fontId="30" fillId="2" borderId="0" xfId="0" applyFont="1" applyFill="1" applyBorder="1" applyAlignment="1" applyProtection="1">
      <alignment horizontal="right" vertical="center" wrapText="1"/>
      <protection hidden="1"/>
    </xf>
    <xf numFmtId="0" fontId="30" fillId="0" borderId="0" xfId="0" applyFont="1" applyAlignment="1" applyProtection="1">
      <alignment horizontal="center" vertical="justify" wrapText="1"/>
      <protection hidden="1"/>
    </xf>
    <xf numFmtId="0" fontId="30" fillId="2" borderId="0" xfId="0" applyFont="1" applyFill="1" applyBorder="1" applyAlignment="1" applyProtection="1">
      <alignment horizontal="left" vertical="center" wrapText="1"/>
      <protection locked="0" hidden="1"/>
    </xf>
    <xf numFmtId="2" fontId="30" fillId="0" borderId="0" xfId="0" applyNumberFormat="1" applyFont="1" applyBorder="1" applyAlignment="1" applyProtection="1">
      <alignment horizontal="left" vertical="center" wrapText="1"/>
      <protection hidden="1"/>
    </xf>
    <xf numFmtId="0" fontId="0" fillId="25" borderId="14" xfId="0" applyFill="1" applyBorder="1" applyAlignment="1">
      <alignment horizontal="center"/>
    </xf>
    <xf numFmtId="0" fontId="0" fillId="25" borderId="15" xfId="0" applyFill="1" applyBorder="1" applyAlignment="1">
      <alignment horizontal="center"/>
    </xf>
    <xf numFmtId="0" fontId="0" fillId="25" borderId="16" xfId="0" applyFill="1" applyBorder="1" applyAlignment="1">
      <alignment horizontal="center"/>
    </xf>
    <xf numFmtId="0" fontId="0" fillId="0" borderId="22" xfId="0" applyBorder="1" applyAlignment="1">
      <alignment horizontal="center"/>
    </xf>
    <xf numFmtId="0" fontId="0" fillId="0" borderId="31" xfId="0" applyBorder="1" applyAlignment="1">
      <alignment horizontal="center"/>
    </xf>
    <xf numFmtId="0" fontId="0" fillId="0" borderId="23" xfId="0" applyBorder="1" applyAlignment="1">
      <alignment horizontal="center"/>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33" xfId="0" applyBorder="1" applyAlignment="1">
      <alignment horizontal="center" vertical="center" wrapText="1"/>
    </xf>
    <xf numFmtId="0" fontId="0" fillId="0" borderId="56" xfId="0" applyBorder="1" applyAlignment="1">
      <alignment horizontal="center" vertical="center" wrapText="1"/>
    </xf>
    <xf numFmtId="0" fontId="0" fillId="0" borderId="34" xfId="0" applyBorder="1" applyAlignment="1">
      <alignment horizontal="center" vertical="center" wrapText="1"/>
    </xf>
    <xf numFmtId="0" fontId="0" fillId="0" borderId="32" xfId="0" applyBorder="1" applyAlignment="1">
      <alignment horizontal="center" vertical="center"/>
    </xf>
    <xf numFmtId="0" fontId="0" fillId="0" borderId="26" xfId="0" applyBorder="1" applyAlignment="1">
      <alignment horizontal="center" vertical="center"/>
    </xf>
    <xf numFmtId="0" fontId="0" fillId="0" borderId="49" xfId="0" applyBorder="1" applyAlignment="1">
      <alignment horizontal="center" vertical="center"/>
    </xf>
    <xf numFmtId="0" fontId="0" fillId="25" borderId="32" xfId="0" applyFill="1" applyBorder="1" applyAlignment="1">
      <alignment horizontal="center" vertical="center"/>
    </xf>
    <xf numFmtId="0" fontId="0" fillId="25" borderId="26" xfId="0" applyFill="1" applyBorder="1" applyAlignment="1">
      <alignment horizontal="center" vertical="center"/>
    </xf>
    <xf numFmtId="0" fontId="0" fillId="25" borderId="49" xfId="0" applyFill="1" applyBorder="1" applyAlignment="1">
      <alignment horizontal="center" vertical="center"/>
    </xf>
    <xf numFmtId="0" fontId="0" fillId="25" borderId="14" xfId="0" applyFill="1" applyBorder="1" applyAlignment="1">
      <alignment horizontal="center" vertical="center" wrapText="1"/>
    </xf>
    <xf numFmtId="0" fontId="0" fillId="25" borderId="15" xfId="0" applyFill="1" applyBorder="1" applyAlignment="1">
      <alignment horizontal="center" vertical="center" wrapText="1"/>
    </xf>
    <xf numFmtId="0" fontId="0" fillId="25" borderId="16" xfId="0" applyFill="1" applyBorder="1" applyAlignment="1">
      <alignment horizontal="center" vertical="center" wrapText="1"/>
    </xf>
  </cellXfs>
  <cellStyles count="5">
    <cellStyle name="Buena" xfId="2" builtinId="26"/>
    <cellStyle name="Estilo 1" xfId="3"/>
    <cellStyle name="Estilo 2" xfId="4"/>
    <cellStyle name="Normal" xfId="0" builtinId="0"/>
    <cellStyle name="Porcentaje" xfId="1" builtinId="5"/>
  </cellStyles>
  <dxfs count="1">
    <dxf>
      <font>
        <strike val="0"/>
        <color rgb="FF00B050"/>
      </font>
      <fill>
        <patternFill>
          <bgColor theme="4" tint="0.39994506668294322"/>
        </patternFill>
      </fill>
    </dxf>
  </dxfs>
  <tableStyles count="0" defaultTableStyle="TableStyleMedium2" defaultPivotStyle="PivotStyleLight16"/>
  <colors>
    <mruColors>
      <color rgb="FFDDEBF7"/>
      <color rgb="FF1F4E78"/>
      <color rgb="FFB6FD03"/>
      <color rgb="FF8DB4E2"/>
      <color rgb="FFACB9CA"/>
      <color rgb="FFF4B084"/>
      <color rgb="FFAEAAAA"/>
      <color rgb="FFC6E0B4"/>
      <color rgb="FF000000"/>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'!$F$102:$F$104</c:f>
              <c:numCache>
                <c:formatCode>General</c:formatCode>
                <c:ptCount val="3"/>
                <c:pt idx="0">
                  <c:v>15.4</c:v>
                </c:pt>
                <c:pt idx="1">
                  <c:v>24.7</c:v>
                </c:pt>
                <c:pt idx="2" formatCode="0.0">
                  <c:v>29.4</c:v>
                </c:pt>
              </c:numCache>
            </c:numRef>
          </c:xVal>
          <c:yVal>
            <c:numRef>
              <c:f>'DATOS @ '!$H$102:$H$104</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339326576"/>
        <c:axId val="339327664"/>
      </c:scatterChart>
      <c:valAx>
        <c:axId val="3393265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39327664"/>
        <c:crosses val="autoZero"/>
        <c:crossBetween val="midCat"/>
      </c:valAx>
      <c:valAx>
        <c:axId val="3393276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393265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'!$A$134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'!$F$134:$F$136</c:f>
              <c:numCache>
                <c:formatCode>General</c:formatCode>
                <c:ptCount val="3"/>
                <c:pt idx="0">
                  <c:v>15.5</c:v>
                </c:pt>
                <c:pt idx="1">
                  <c:v>24.6</c:v>
                </c:pt>
                <c:pt idx="2" formatCode="0.0">
                  <c:v>29.2</c:v>
                </c:pt>
              </c:numCache>
            </c:numRef>
          </c:xVal>
          <c:yVal>
            <c:numRef>
              <c:f>'DATOS @ '!$H$134:$H$136</c:f>
              <c:numCache>
                <c:formatCode>0.0</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D754-4C2C-A3B8-28DABB52C518}"/>
            </c:ext>
          </c:extLst>
        </c:ser>
        <c:dLbls>
          <c:showLegendKey val="0"/>
          <c:showVal val="0"/>
          <c:showCatName val="0"/>
          <c:showSerName val="0"/>
          <c:showPercent val="0"/>
          <c:showBubbleSize val="0"/>
        </c:dLbls>
        <c:axId val="547355984"/>
        <c:axId val="589711632"/>
      </c:scatterChart>
      <c:valAx>
        <c:axId val="5473559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89711632"/>
        <c:crosses val="autoZero"/>
        <c:crossBetween val="midCat"/>
      </c:valAx>
      <c:valAx>
        <c:axId val="5897116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473559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'!$A$137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'!$F$137:$F$139</c:f>
              <c:numCache>
                <c:formatCode>General</c:formatCode>
                <c:ptCount val="3"/>
                <c:pt idx="0">
                  <c:v>33.6</c:v>
                </c:pt>
                <c:pt idx="1">
                  <c:v>51.2</c:v>
                </c:pt>
                <c:pt idx="2">
                  <c:v>68.5</c:v>
                </c:pt>
              </c:numCache>
            </c:numRef>
          </c:xVal>
          <c:yVal>
            <c:numRef>
              <c:f>'DATOS @ '!$H$137:$H$139</c:f>
              <c:numCache>
                <c:formatCode>General</c:formatCode>
                <c:ptCount val="3"/>
                <c:pt idx="0">
                  <c:v>-3.6</c:v>
                </c:pt>
                <c:pt idx="1">
                  <c:v>-1.2</c:v>
                </c:pt>
                <c:pt idx="2">
                  <c:v>1.5</c:v>
                </c:pt>
              </c:numCache>
            </c:numRef>
          </c:yVal>
          <c:smooth val="0"/>
          <c:extLst xmlns:c16r2="http://schemas.microsoft.com/office/drawing/2015/06/chart">
            <c:ext xmlns:c16="http://schemas.microsoft.com/office/drawing/2014/chart" uri="{C3380CC4-5D6E-409C-BE32-E72D297353CC}">
              <c16:uniqueId val="{00000002-6F86-4FBD-A156-260CF5034520}"/>
            </c:ext>
          </c:extLst>
        </c:ser>
        <c:dLbls>
          <c:showLegendKey val="0"/>
          <c:showVal val="0"/>
          <c:showCatName val="0"/>
          <c:showSerName val="0"/>
          <c:showPercent val="0"/>
          <c:showBubbleSize val="0"/>
        </c:dLbls>
        <c:axId val="589710000"/>
        <c:axId val="589715984"/>
      </c:scatterChart>
      <c:valAx>
        <c:axId val="5897100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89715984"/>
        <c:crosses val="autoZero"/>
        <c:crossBetween val="midCat"/>
      </c:valAx>
      <c:valAx>
        <c:axId val="5897159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897100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'!$A$140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'!$F$140:$F$142</c:f>
              <c:numCache>
                <c:formatCode>General</c:formatCode>
                <c:ptCount val="3"/>
                <c:pt idx="0">
                  <c:v>698.3</c:v>
                </c:pt>
                <c:pt idx="1">
                  <c:v>798.4</c:v>
                </c:pt>
                <c:pt idx="2">
                  <c:v>848.7</c:v>
                </c:pt>
              </c:numCache>
            </c:numRef>
          </c:xVal>
          <c:yVal>
            <c:numRef>
              <c:f>'DATOS @ '!$H$140:$H$142</c:f>
              <c:numCache>
                <c:formatCode>0.00</c:formatCode>
                <c:ptCount val="3"/>
                <c:pt idx="0" formatCode="General">
                  <c:v>-0.92</c:v>
                </c:pt>
                <c:pt idx="1">
                  <c:v>-0.82099999999999995</c:v>
                </c:pt>
                <c:pt idx="2" formatCode="General">
                  <c:v>-0.75</c:v>
                </c:pt>
              </c:numCache>
            </c:numRef>
          </c:yVal>
          <c:smooth val="0"/>
          <c:extLst xmlns:c16r2="http://schemas.microsoft.com/office/drawing/2015/06/chart">
            <c:ext xmlns:c16="http://schemas.microsoft.com/office/drawing/2014/chart" uri="{C3380CC4-5D6E-409C-BE32-E72D297353CC}">
              <c16:uniqueId val="{00000002-052A-4CA5-B01E-5230918C5BDF}"/>
            </c:ext>
          </c:extLst>
        </c:ser>
        <c:dLbls>
          <c:showLegendKey val="0"/>
          <c:showVal val="0"/>
          <c:showCatName val="0"/>
          <c:showSerName val="0"/>
          <c:showPercent val="0"/>
          <c:showBubbleSize val="0"/>
        </c:dLbls>
        <c:axId val="589716528"/>
        <c:axId val="589713808"/>
      </c:scatterChart>
      <c:valAx>
        <c:axId val="5897165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89713808"/>
        <c:crosses val="autoZero"/>
        <c:crossBetween val="midCat"/>
      </c:valAx>
      <c:valAx>
        <c:axId val="5897138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897165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'!$A$144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'!$F$144:$F$146</c:f>
              <c:numCache>
                <c:formatCode>0.0</c:formatCode>
                <c:ptCount val="3"/>
                <c:pt idx="0" formatCode="General">
                  <c:v>15.4</c:v>
                </c:pt>
                <c:pt idx="1">
                  <c:v>24.7</c:v>
                </c:pt>
                <c:pt idx="2">
                  <c:v>29.4</c:v>
                </c:pt>
              </c:numCache>
            </c:numRef>
          </c:xVal>
          <c:yVal>
            <c:numRef>
              <c:f>'DATOS @ '!$H$144:$H$146</c:f>
              <c:numCache>
                <c:formatCode>0.0</c:formatCode>
                <c:ptCount val="3"/>
                <c:pt idx="0">
                  <c:v>-0.1</c:v>
                </c:pt>
                <c:pt idx="1">
                  <c:v>0</c:v>
                </c:pt>
                <c:pt idx="2">
                  <c:v>0.1</c:v>
                </c:pt>
              </c:numCache>
            </c:numRef>
          </c:yVal>
          <c:smooth val="0"/>
          <c:extLst xmlns:c16r2="http://schemas.microsoft.com/office/drawing/2015/06/chart">
            <c:ext xmlns:c16="http://schemas.microsoft.com/office/drawing/2014/chart" uri="{C3380CC4-5D6E-409C-BE32-E72D297353CC}">
              <c16:uniqueId val="{00000002-A95D-4601-B71D-F8FE842811EC}"/>
            </c:ext>
          </c:extLst>
        </c:ser>
        <c:dLbls>
          <c:showLegendKey val="0"/>
          <c:showVal val="0"/>
          <c:showCatName val="0"/>
          <c:showSerName val="0"/>
          <c:showPercent val="0"/>
          <c:showBubbleSize val="0"/>
        </c:dLbls>
        <c:axId val="589709456"/>
        <c:axId val="589712720"/>
      </c:scatterChart>
      <c:valAx>
        <c:axId val="5897094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89712720"/>
        <c:crosses val="autoZero"/>
        <c:crossBetween val="midCat"/>
      </c:valAx>
      <c:valAx>
        <c:axId val="5897127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897094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'!$A$147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566452924726993"/>
                  <c:y val="-0.4278437804908558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'!$F$147:$F$149</c:f>
              <c:numCache>
                <c:formatCode>General</c:formatCode>
                <c:ptCount val="3"/>
                <c:pt idx="0">
                  <c:v>33.6</c:v>
                </c:pt>
                <c:pt idx="1">
                  <c:v>51.2</c:v>
                </c:pt>
                <c:pt idx="2">
                  <c:v>68.3</c:v>
                </c:pt>
              </c:numCache>
            </c:numRef>
          </c:xVal>
          <c:yVal>
            <c:numRef>
              <c:f>'DATOS @ '!$H$147:$H$149</c:f>
              <c:numCache>
                <c:formatCode>General</c:formatCode>
                <c:ptCount val="3"/>
                <c:pt idx="0">
                  <c:v>-3.6</c:v>
                </c:pt>
                <c:pt idx="1">
                  <c:v>-1.2</c:v>
                </c:pt>
                <c:pt idx="2">
                  <c:v>1.7</c:v>
                </c:pt>
              </c:numCache>
            </c:numRef>
          </c:yVal>
          <c:smooth val="0"/>
          <c:extLst xmlns:c16r2="http://schemas.microsoft.com/office/drawing/2015/06/chart">
            <c:ext xmlns:c16="http://schemas.microsoft.com/office/drawing/2014/chart" uri="{C3380CC4-5D6E-409C-BE32-E72D297353CC}">
              <c16:uniqueId val="{00000002-78BF-4D59-8992-3EC95F5425AD}"/>
            </c:ext>
          </c:extLst>
        </c:ser>
        <c:dLbls>
          <c:showLegendKey val="0"/>
          <c:showVal val="0"/>
          <c:showCatName val="0"/>
          <c:showSerName val="0"/>
          <c:showPercent val="0"/>
          <c:showBubbleSize val="0"/>
        </c:dLbls>
        <c:axId val="589712176"/>
        <c:axId val="589710544"/>
      </c:scatterChart>
      <c:valAx>
        <c:axId val="5897121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89710544"/>
        <c:crosses val="autoZero"/>
        <c:crossBetween val="midCat"/>
      </c:valAx>
      <c:valAx>
        <c:axId val="5897105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897121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'!$A$150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'!$F$150:$F$152</c:f>
              <c:numCache>
                <c:formatCode>General</c:formatCode>
                <c:ptCount val="3"/>
                <c:pt idx="0" formatCode="0.0">
                  <c:v>698.2</c:v>
                </c:pt>
                <c:pt idx="1">
                  <c:v>751.8</c:v>
                </c:pt>
                <c:pt idx="2">
                  <c:v>798.4</c:v>
                </c:pt>
              </c:numCache>
            </c:numRef>
          </c:xVal>
          <c:yVal>
            <c:numRef>
              <c:f>'DATOS @ '!$H$150:$H$152</c:f>
              <c:numCache>
                <c:formatCode>0.00</c:formatCode>
                <c:ptCount val="3"/>
                <c:pt idx="0" formatCode="General">
                  <c:v>-0.99</c:v>
                </c:pt>
                <c:pt idx="1">
                  <c:v>-0.88</c:v>
                </c:pt>
                <c:pt idx="2" formatCode="General">
                  <c:v>-0.73</c:v>
                </c:pt>
              </c:numCache>
            </c:numRef>
          </c:yVal>
          <c:smooth val="0"/>
          <c:extLst xmlns:c16r2="http://schemas.microsoft.com/office/drawing/2015/06/chart">
            <c:ext xmlns:c16="http://schemas.microsoft.com/office/drawing/2014/chart" uri="{C3380CC4-5D6E-409C-BE32-E72D297353CC}">
              <c16:uniqueId val="{00000002-5656-4EF1-BFD6-D60C4CB4F6BD}"/>
            </c:ext>
          </c:extLst>
        </c:ser>
        <c:dLbls>
          <c:showLegendKey val="0"/>
          <c:showVal val="0"/>
          <c:showCatName val="0"/>
          <c:showSerName val="0"/>
          <c:showPercent val="0"/>
          <c:showBubbleSize val="0"/>
        </c:dLbls>
        <c:axId val="561961664"/>
        <c:axId val="561962752"/>
      </c:scatterChart>
      <c:valAx>
        <c:axId val="5619616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62752"/>
        <c:crosses val="autoZero"/>
        <c:crossBetween val="midCat"/>
      </c:valAx>
      <c:valAx>
        <c:axId val="5619627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616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10387363746815E-2"/>
          <c:y val="0.12433233242982443"/>
          <c:w val="0.89016256604346367"/>
          <c:h val="0.80768101300863082"/>
        </c:manualLayout>
      </c:layout>
      <c:scatterChart>
        <c:scatterStyle val="lineMarker"/>
        <c:varyColors val="0"/>
        <c:ser>
          <c:idx val="0"/>
          <c:order val="0"/>
          <c:tx>
            <c:strRef>
              <c:f>'RT03-F12 @'!$N$128:$N$132</c:f>
              <c:strCache>
                <c:ptCount val="5"/>
                <c:pt idx="0">
                  <c:v>#N/A</c:v>
                </c:pt>
                <c:pt idx="1">
                  <c:v>#N/A</c:v>
                </c:pt>
                <c:pt idx="2">
                  <c:v>#N/A</c:v>
                </c:pt>
                <c:pt idx="3">
                  <c:v>#N/A</c:v>
                </c:pt>
                <c:pt idx="4">
                  <c:v>#N/A</c:v>
                </c:pt>
              </c:strCache>
            </c:strRef>
          </c:tx>
          <c:spPr>
            <a:ln w="9525"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cap="rnd">
                <a:solidFill>
                  <a:schemeClr val="accent6"/>
                </a:solidFill>
                <a:round/>
              </a:ln>
              <a:effectLst>
                <a:outerShdw blurRad="57150" dist="19050" dir="5400000" algn="ctr" rotWithShape="0">
                  <a:srgbClr val="000000">
                    <a:alpha val="63000"/>
                  </a:srgbClr>
                </a:outerShdw>
              </a:effectLst>
            </c:spPr>
          </c:marker>
          <c:dLbls>
            <c:dLbl>
              <c:idx val="0"/>
              <c:layout>
                <c:manualLayout>
                  <c:x val="-3.2373725344309501E-3"/>
                  <c:y val="-4.075299258123596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9ED-49B3-93EF-71BB7A467D23}"/>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trendline>
            <c:spPr>
              <a:ln w="19050" cap="rnd">
                <a:solidFill>
                  <a:schemeClr val="accent6"/>
                </a:solidFill>
                <a:prstDash val="sysDash"/>
              </a:ln>
              <a:effectLst/>
            </c:spPr>
            <c:trendlineType val="linear"/>
            <c:dispRSqr val="0"/>
            <c:dispEq val="0"/>
          </c:trendline>
          <c:trendline>
            <c:spPr>
              <a:ln w="19050" cap="rnd">
                <a:solidFill>
                  <a:schemeClr val="accent6"/>
                </a:solidFill>
                <a:prstDash val="sysDash"/>
              </a:ln>
              <a:effectLst/>
            </c:spPr>
            <c:trendlineType val="linear"/>
            <c:dispRSqr val="0"/>
            <c:dispEq val="0"/>
          </c:trendline>
          <c:trendline>
            <c:spPr>
              <a:ln w="19050" cap="rnd">
                <a:solidFill>
                  <a:schemeClr val="accent6"/>
                </a:solidFill>
                <a:prstDash val="sysDash"/>
              </a:ln>
              <a:effectLst/>
            </c:spPr>
            <c:trendlineType val="linear"/>
            <c:dispRSqr val="0"/>
            <c:dispEq val="0"/>
          </c:trendline>
          <c:trendline>
            <c:spPr>
              <a:ln w="19050" cap="rnd">
                <a:solidFill>
                  <a:schemeClr val="accent6"/>
                </a:solidFill>
                <a:prstDash val="sysDash"/>
              </a:ln>
              <a:effectLst/>
            </c:spPr>
            <c:trendlineType val="linear"/>
            <c:dispRSqr val="0"/>
            <c:dispEq val="0"/>
          </c:trendline>
          <c:trendline>
            <c:spPr>
              <a:ln w="19050" cap="rnd">
                <a:solidFill>
                  <a:schemeClr val="accent6"/>
                </a:solidFill>
                <a:prstDash val="sysDash"/>
              </a:ln>
              <a:effectLst/>
            </c:spPr>
            <c:trendlineType val="linear"/>
            <c:dispRSqr val="0"/>
            <c:dispEq val="0"/>
          </c:trendline>
          <c:errBars>
            <c:errDir val="x"/>
            <c:errBarType val="both"/>
            <c:errValType val="fixedVal"/>
            <c:noEndCap val="0"/>
            <c:val val="1"/>
            <c:spPr>
              <a:noFill/>
              <a:ln w="9525" cap="flat" cmpd="sng" algn="ctr">
                <a:solidFill>
                  <a:schemeClr val="lt1">
                    <a:lumMod val="95000"/>
                  </a:schemeClr>
                </a:solidFill>
                <a:round/>
              </a:ln>
              <a:effectLst/>
            </c:spPr>
          </c:errBars>
          <c:xVal>
            <c:numRef>
              <c:f>'RT03-F12 @'!$N$128:$N$132</c:f>
              <c:numCache>
                <c:formatCode>0</c:formatCode>
                <c:ptCount val="5"/>
                <c:pt idx="0">
                  <c:v>#N/A</c:v>
                </c:pt>
                <c:pt idx="1">
                  <c:v>#N/A</c:v>
                </c:pt>
                <c:pt idx="2">
                  <c:v>#N/A</c:v>
                </c:pt>
                <c:pt idx="3">
                  <c:v>#N/A</c:v>
                </c:pt>
                <c:pt idx="4">
                  <c:v>#N/A</c:v>
                </c:pt>
              </c:numCache>
            </c:numRef>
          </c:xVal>
          <c:yVal>
            <c:numRef>
              <c:f>'RT03-F12 @'!$O$128:$O$132</c:f>
              <c:numCache>
                <c:formatCode>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2-BD5C-48CB-9721-F102F978F3F9}"/>
            </c:ext>
          </c:extLst>
        </c:ser>
        <c:dLbls>
          <c:dLblPos val="t"/>
          <c:showLegendKey val="0"/>
          <c:showVal val="1"/>
          <c:showCatName val="0"/>
          <c:showSerName val="0"/>
          <c:showPercent val="0"/>
          <c:showBubbleSize val="0"/>
        </c:dLbls>
        <c:axId val="561963296"/>
        <c:axId val="42684768"/>
      </c:scatterChart>
      <c:valAx>
        <c:axId val="561963296"/>
        <c:scaling>
          <c:orientation val="minMax"/>
          <c:max val="9000"/>
          <c:min val="0"/>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s-CO"/>
                  <a:t>CARGA (g)</a:t>
                </a:r>
              </a:p>
            </c:rich>
          </c:tx>
          <c:layout>
            <c:manualLayout>
              <c:xMode val="edge"/>
              <c:yMode val="edge"/>
              <c:x val="0.49284502787607881"/>
              <c:y val="0.82940679881451573"/>
            </c:manualLayout>
          </c:layout>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es-CO"/>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2684768"/>
        <c:crosses val="autoZero"/>
        <c:crossBetween val="midCat"/>
        <c:majorUnit val="1000"/>
        <c:minorUnit val="10"/>
      </c:valAx>
      <c:valAx>
        <c:axId val="42684768"/>
        <c:scaling>
          <c:orientation val="minMax"/>
          <c:min val="20"/>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s-CO"/>
                  <a:t>Incertidumbre   </a:t>
                </a:r>
                <a:r>
                  <a:rPr lang="es-CO" baseline="0"/>
                  <a:t> </a:t>
                </a:r>
                <a:r>
                  <a:rPr lang="es-CO"/>
                  <a:t>                    </a:t>
                </a:r>
              </a:p>
            </c:rich>
          </c:tx>
          <c:layout>
            <c:manualLayout>
              <c:xMode val="edge"/>
              <c:yMode val="edge"/>
              <c:x val="1.2119361627031297E-2"/>
              <c:y val="0.27774061735122496"/>
            </c:manualLayout>
          </c:layout>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es-CO"/>
            </a:p>
          </c:txPr>
        </c:title>
        <c:numFmt formatCode="General"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61963296"/>
        <c:crosses val="autoZero"/>
        <c:crossBetween val="midCat"/>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v>Aporte a la incertidumbre</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('RT03-F12 @'!$A$73:$B$76,'RT03-F12 @'!$A$79:$B$81)</c:f>
              <c:strCache>
                <c:ptCount val="7"/>
                <c:pt idx="0">
                  <c:v>Excentricidad</c:v>
                </c:pt>
                <c:pt idx="1">
                  <c:v>Repetibilidad</c:v>
                </c:pt>
                <c:pt idx="2">
                  <c:v>Prueba de error de indicación (redondeo de la indicación sin carga)</c:v>
                </c:pt>
                <c:pt idx="3">
                  <c:v>Prueba de error de indicación (redondeo de la indicación con carga)</c:v>
                </c:pt>
                <c:pt idx="4">
                  <c:v>Incertidumbre por pesas patrón</c:v>
                </c:pt>
                <c:pt idx="5">
                  <c:v>incertidumbre  por empuje</c:v>
                </c:pt>
                <c:pt idx="6">
                  <c:v>incertidumbre por  deriva</c:v>
                </c:pt>
              </c:strCache>
            </c:strRef>
          </c:cat>
          <c:val>
            <c:numRef>
              <c:f>('RT03-F12 @'!$M$73:$M$76,'RT03-F12 @'!$M$79:$M$81)</c:f>
              <c:numCache>
                <c:formatCode>0%</c:formatCode>
                <c:ptCount val="7"/>
                <c:pt idx="0">
                  <c:v>0</c:v>
                </c:pt>
                <c:pt idx="1">
                  <c:v>0</c:v>
                </c:pt>
                <c:pt idx="2">
                  <c:v>#N/A</c:v>
                </c:pt>
                <c:pt idx="3">
                  <c:v>#N/A</c:v>
                </c:pt>
                <c:pt idx="4">
                  <c:v>#N/A</c:v>
                </c:pt>
                <c:pt idx="5">
                  <c:v>#N/A</c:v>
                </c:pt>
                <c:pt idx="6">
                  <c:v>#N/A</c:v>
                </c:pt>
              </c:numCache>
            </c:numRef>
          </c:val>
        </c:ser>
        <c:dLbls>
          <c:dLblPos val="inEnd"/>
          <c:showLegendKey val="0"/>
          <c:showVal val="1"/>
          <c:showCatName val="0"/>
          <c:showSerName val="0"/>
          <c:showPercent val="0"/>
          <c:showBubbleSize val="0"/>
        </c:dLbls>
        <c:gapWidth val="65"/>
        <c:axId val="42685312"/>
        <c:axId val="42686400"/>
      </c:barChart>
      <c:catAx>
        <c:axId val="426853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solidFill>
                <a:latin typeface="+mn-lt"/>
                <a:ea typeface="+mn-ea"/>
                <a:cs typeface="+mn-cs"/>
              </a:defRPr>
            </a:pPr>
            <a:endParaRPr lang="es-CO"/>
          </a:p>
        </c:txPr>
        <c:crossAx val="42686400"/>
        <c:crosses val="autoZero"/>
        <c:auto val="1"/>
        <c:lblAlgn val="ctr"/>
        <c:lblOffset val="100"/>
        <c:noMultiLvlLbl val="0"/>
      </c:catAx>
      <c:valAx>
        <c:axId val="426864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2685312"/>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r>
              <a:rPr lang="es-CO">
                <a:solidFill>
                  <a:schemeClr val="tx1"/>
                </a:solidFill>
              </a:rPr>
              <a:t>Después de ajuste</a:t>
            </a:r>
          </a:p>
        </c:rich>
      </c:tx>
      <c:layout/>
      <c:overlay val="0"/>
      <c:spPr>
        <a:noFill/>
        <a:ln>
          <a:noFill/>
        </a:ln>
        <a:effectLst/>
      </c:spPr>
      <c:txPr>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scatterChart>
        <c:scatterStyle val="lineMarker"/>
        <c:varyColors val="0"/>
        <c:ser>
          <c:idx val="0"/>
          <c:order val="0"/>
          <c:tx>
            <c:strRef>
              <c:f>' RT03-F15 @'!$D$104</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errBars>
            <c:errDir val="y"/>
            <c:errBarType val="both"/>
            <c:errValType val="cust"/>
            <c:noEndCap val="0"/>
            <c:plus>
              <c:numRef>
                <c:f>' RT03-F15 @'!$C$106:$C$110</c:f>
                <c:numCache>
                  <c:formatCode>General</c:formatCode>
                  <c:ptCount val="5"/>
                  <c:pt idx="0">
                    <c:v>0</c:v>
                  </c:pt>
                  <c:pt idx="1">
                    <c:v>0</c:v>
                  </c:pt>
                  <c:pt idx="2">
                    <c:v>0</c:v>
                  </c:pt>
                  <c:pt idx="3">
                    <c:v>0</c:v>
                  </c:pt>
                  <c:pt idx="4">
                    <c:v>0</c:v>
                  </c:pt>
                </c:numCache>
              </c:numRef>
            </c:plus>
            <c:minus>
              <c:numRef>
                <c:f>' RT03-F15 @'!$C$106:$C$110</c:f>
                <c:numCache>
                  <c:formatCode>General</c:formatCode>
                  <c:ptCount val="5"/>
                  <c:pt idx="0">
                    <c:v>0</c:v>
                  </c:pt>
                  <c:pt idx="1">
                    <c:v>0</c:v>
                  </c:pt>
                  <c:pt idx="2">
                    <c:v>0</c:v>
                  </c:pt>
                  <c:pt idx="3">
                    <c:v>0</c:v>
                  </c:pt>
                  <c:pt idx="4">
                    <c:v>0</c:v>
                  </c:pt>
                </c:numCache>
              </c:numRef>
            </c:minus>
            <c:spPr>
              <a:noFill/>
              <a:ln w="19050" cap="flat" cmpd="sng" algn="ctr">
                <a:solidFill>
                  <a:srgbClr val="FF0000"/>
                </a:solidFill>
                <a:round/>
              </a:ln>
              <a:effectLst/>
            </c:spPr>
          </c:errBars>
          <c:xVal>
            <c:numRef>
              <c:f>' RT03-F15 @'!$A$106:$A$110</c:f>
              <c:numCache>
                <c:formatCode>0</c:formatCode>
                <c:ptCount val="5"/>
                <c:pt idx="0">
                  <c:v>#N/A</c:v>
                </c:pt>
                <c:pt idx="1">
                  <c:v>#N/A</c:v>
                </c:pt>
                <c:pt idx="2">
                  <c:v>#N/A</c:v>
                </c:pt>
                <c:pt idx="3">
                  <c:v>#N/A</c:v>
                </c:pt>
                <c:pt idx="4">
                  <c:v>#N/A</c:v>
                </c:pt>
              </c:numCache>
            </c:numRef>
          </c:xVal>
          <c:yVal>
            <c:numRef>
              <c:f>' RT03-F15 @'!$B$106:$B$110</c:f>
              <c:numCache>
                <c:formatCode>0.00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0-AB1D-4EFB-9B3B-AB03A0DDED75}"/>
            </c:ext>
          </c:extLst>
        </c:ser>
        <c:ser>
          <c:idx val="1"/>
          <c:order val="1"/>
          <c:tx>
            <c:strRef>
              <c:f>' RT03-F15 @'!$E$96</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RT03-F15 @'!$D$97:$D$102</c:f>
              <c:numCache>
                <c:formatCode>General</c:formatCode>
                <c:ptCount val="6"/>
                <c:pt idx="0">
                  <c:v>5</c:v>
                </c:pt>
                <c:pt idx="1">
                  <c:v>1000</c:v>
                </c:pt>
                <c:pt idx="2">
                  <c:v>2000</c:v>
                </c:pt>
                <c:pt idx="3">
                  <c:v>5000</c:v>
                </c:pt>
                <c:pt idx="4">
                  <c:v>5000</c:v>
                </c:pt>
                <c:pt idx="5">
                  <c:v>8200</c:v>
                </c:pt>
              </c:numCache>
            </c:numRef>
          </c:xVal>
          <c:yVal>
            <c:numRef>
              <c:f>' RT03-F15 @'!$E$97:$E$102</c:f>
              <c:numCache>
                <c:formatCode>General</c:formatCode>
                <c:ptCount val="6"/>
                <c:pt idx="0">
                  <c:v>1</c:v>
                </c:pt>
                <c:pt idx="1">
                  <c:v>1</c:v>
                </c:pt>
                <c:pt idx="2">
                  <c:v>1</c:v>
                </c:pt>
                <c:pt idx="3">
                  <c:v>1</c:v>
                </c:pt>
                <c:pt idx="4">
                  <c:v>2</c:v>
                </c:pt>
                <c:pt idx="5">
                  <c:v>2</c:v>
                </c:pt>
              </c:numCache>
            </c:numRef>
          </c:yVal>
          <c:smooth val="0"/>
          <c:extLst xmlns:c16r2="http://schemas.microsoft.com/office/drawing/2015/06/chart">
            <c:ext xmlns:c16="http://schemas.microsoft.com/office/drawing/2014/chart" uri="{C3380CC4-5D6E-409C-BE32-E72D297353CC}">
              <c16:uniqueId val="{00000001-AB1D-4EFB-9B3B-AB03A0DDED75}"/>
            </c:ext>
          </c:extLst>
        </c:ser>
        <c:ser>
          <c:idx val="2"/>
          <c:order val="2"/>
          <c:tx>
            <c:strRef>
              <c:f>' RT03-F15 @'!$F$96</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RT03-F15 @'!$D$97:$D$102</c:f>
              <c:numCache>
                <c:formatCode>General</c:formatCode>
                <c:ptCount val="6"/>
                <c:pt idx="0">
                  <c:v>5</c:v>
                </c:pt>
                <c:pt idx="1">
                  <c:v>1000</c:v>
                </c:pt>
                <c:pt idx="2">
                  <c:v>2000</c:v>
                </c:pt>
                <c:pt idx="3">
                  <c:v>5000</c:v>
                </c:pt>
                <c:pt idx="4">
                  <c:v>5000</c:v>
                </c:pt>
                <c:pt idx="5">
                  <c:v>8200</c:v>
                </c:pt>
              </c:numCache>
            </c:numRef>
          </c:xVal>
          <c:yVal>
            <c:numRef>
              <c:f>' RT03-F15 @'!$F$97:$F$102</c:f>
              <c:numCache>
                <c:formatCode>General</c:formatCode>
                <c:ptCount val="6"/>
                <c:pt idx="0">
                  <c:v>-1</c:v>
                </c:pt>
                <c:pt idx="1">
                  <c:v>-1</c:v>
                </c:pt>
                <c:pt idx="2">
                  <c:v>-1</c:v>
                </c:pt>
                <c:pt idx="3">
                  <c:v>-1</c:v>
                </c:pt>
                <c:pt idx="4">
                  <c:v>-2</c:v>
                </c:pt>
                <c:pt idx="5">
                  <c:v>-2</c:v>
                </c:pt>
              </c:numCache>
            </c:numRef>
          </c:yVal>
          <c:smooth val="0"/>
          <c:extLst xmlns:c16r2="http://schemas.microsoft.com/office/drawing/2015/06/chart">
            <c:ext xmlns:c16="http://schemas.microsoft.com/office/drawing/2014/chart" uri="{C3380CC4-5D6E-409C-BE32-E72D297353CC}">
              <c16:uniqueId val="{00000002-AB1D-4EFB-9B3B-AB03A0DDED75}"/>
            </c:ext>
          </c:extLst>
        </c:ser>
        <c:dLbls>
          <c:showLegendKey val="0"/>
          <c:showVal val="0"/>
          <c:showCatName val="0"/>
          <c:showSerName val="0"/>
          <c:showPercent val="0"/>
          <c:showBubbleSize val="0"/>
        </c:dLbls>
        <c:axId val="349213152"/>
        <c:axId val="349213696"/>
      </c:scatterChart>
      <c:valAx>
        <c:axId val="349213152"/>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n-US">
                    <a:solidFill>
                      <a:schemeClr val="tx1"/>
                    </a:solidFill>
                  </a:rPr>
                  <a:t>CARGA </a:t>
                </a:r>
                <a:r>
                  <a:rPr lang="en-US" cap="none" baseline="0">
                    <a:solidFill>
                      <a:schemeClr val="tx1"/>
                    </a:solidFill>
                    <a:latin typeface="Arial" panose="020B0604020202020204" pitchFamily="34" charset="0"/>
                  </a:rPr>
                  <a:t>g</a:t>
                </a:r>
                <a:r>
                  <a:rPr lang="en-US">
                    <a:solidFill>
                      <a:schemeClr val="tx1"/>
                    </a:solidFill>
                  </a:rPr>
                  <a:t> </a:t>
                </a:r>
                <a:r>
                  <a:rPr lang="en-US" baseline="0">
                    <a:solidFill>
                      <a:schemeClr val="tx1"/>
                    </a:solidFill>
                  </a:rPr>
                  <a:t> </a:t>
                </a:r>
                <a:r>
                  <a:rPr lang="en-US">
                    <a:solidFill>
                      <a:schemeClr val="tx1"/>
                    </a:solidFill>
                  </a:rPr>
                  <a:t>  </a:t>
                </a:r>
              </a:p>
            </c:rich>
          </c:tx>
          <c:layout/>
          <c:overlay val="0"/>
          <c:spPr>
            <a:noFill/>
            <a:ln>
              <a:noFill/>
            </a:ln>
            <a:effectLst/>
          </c:spPr>
          <c:txPr>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349213696"/>
        <c:crosses val="autoZero"/>
        <c:crossBetween val="midCat"/>
      </c:valAx>
      <c:valAx>
        <c:axId val="34921369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s-CO">
                    <a:solidFill>
                      <a:schemeClr val="tx1"/>
                    </a:solidFill>
                  </a:rPr>
                  <a:t>error </a:t>
                </a:r>
                <a:r>
                  <a:rPr lang="es-CO" cap="none" baseline="0">
                    <a:solidFill>
                      <a:schemeClr val="tx1"/>
                    </a:solidFill>
                  </a:rPr>
                  <a:t>g</a:t>
                </a:r>
              </a:p>
            </c:rich>
          </c:tx>
          <c:layout/>
          <c:overlay val="0"/>
          <c:spPr>
            <a:noFill/>
            <a:ln>
              <a:noFill/>
            </a:ln>
            <a:effectLst/>
          </c:spPr>
          <c:txPr>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0.0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349213152"/>
        <c:crosses val="autoZero"/>
        <c:crossBetween val="midCat"/>
      </c:valAx>
      <c:spPr>
        <a:noFill/>
        <a:ln>
          <a:noFill/>
        </a:ln>
        <a:effectLst/>
      </c:spPr>
    </c:plotArea>
    <c:plotVisOnly val="1"/>
    <c:dispBlanksAs val="gap"/>
    <c:showDLblsOverMax val="0"/>
  </c:chart>
  <c:spPr>
    <a:solidFill>
      <a:srgbClr val="FFC000">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r>
              <a:rPr lang="es-CO">
                <a:solidFill>
                  <a:schemeClr val="tx1"/>
                </a:solidFill>
              </a:rPr>
              <a:t>Después de ajuste</a:t>
            </a:r>
          </a:p>
        </c:rich>
      </c:tx>
      <c:overlay val="0"/>
      <c:spPr>
        <a:noFill/>
        <a:ln>
          <a:noFill/>
        </a:ln>
        <a:effectLst/>
      </c:spPr>
      <c:txPr>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scatterChart>
        <c:scatterStyle val="lineMarker"/>
        <c:varyColors val="0"/>
        <c:ser>
          <c:idx val="0"/>
          <c:order val="0"/>
          <c:tx>
            <c:strRef>
              <c:f>' RT03-F39 @ '!$D$104</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errBars>
            <c:errDir val="y"/>
            <c:errBarType val="both"/>
            <c:errValType val="cust"/>
            <c:noEndCap val="0"/>
            <c:plus>
              <c:numRef>
                <c:f>' RT03-F39 @ '!$C$106:$C$110</c:f>
                <c:numCache>
                  <c:formatCode>General</c:formatCode>
                  <c:ptCount val="5"/>
                  <c:pt idx="0">
                    <c:v>0</c:v>
                  </c:pt>
                  <c:pt idx="1">
                    <c:v>0</c:v>
                  </c:pt>
                  <c:pt idx="2">
                    <c:v>0</c:v>
                  </c:pt>
                  <c:pt idx="3">
                    <c:v>0</c:v>
                  </c:pt>
                  <c:pt idx="4">
                    <c:v>0</c:v>
                  </c:pt>
                </c:numCache>
              </c:numRef>
            </c:plus>
            <c:minus>
              <c:numRef>
                <c:f>' RT03-F39 @ '!$C$106:$C$110</c:f>
                <c:numCache>
                  <c:formatCode>General</c:formatCode>
                  <c:ptCount val="5"/>
                  <c:pt idx="0">
                    <c:v>0</c:v>
                  </c:pt>
                  <c:pt idx="1">
                    <c:v>0</c:v>
                  </c:pt>
                  <c:pt idx="2">
                    <c:v>0</c:v>
                  </c:pt>
                  <c:pt idx="3">
                    <c:v>0</c:v>
                  </c:pt>
                  <c:pt idx="4">
                    <c:v>0</c:v>
                  </c:pt>
                </c:numCache>
              </c:numRef>
            </c:minus>
            <c:spPr>
              <a:noFill/>
              <a:ln w="19050" cap="flat" cmpd="sng" algn="ctr">
                <a:solidFill>
                  <a:srgbClr val="FF0000"/>
                </a:solidFill>
                <a:round/>
              </a:ln>
              <a:effectLst/>
            </c:spPr>
          </c:errBars>
          <c:xVal>
            <c:numRef>
              <c:f>' RT03-F39 @ '!$A$106:$A$110</c:f>
              <c:numCache>
                <c:formatCode>0</c:formatCode>
                <c:ptCount val="5"/>
                <c:pt idx="0">
                  <c:v>#N/A</c:v>
                </c:pt>
                <c:pt idx="1">
                  <c:v>#N/A</c:v>
                </c:pt>
                <c:pt idx="2">
                  <c:v>#N/A</c:v>
                </c:pt>
                <c:pt idx="3">
                  <c:v>#N/A</c:v>
                </c:pt>
                <c:pt idx="4">
                  <c:v>#N/A</c:v>
                </c:pt>
              </c:numCache>
            </c:numRef>
          </c:xVal>
          <c:yVal>
            <c:numRef>
              <c:f>' RT03-F39 @ '!$B$106:$B$110</c:f>
              <c:numCache>
                <c:formatCode>0.00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0-AB1D-4EFB-9B3B-AB03A0DDED75}"/>
            </c:ext>
          </c:extLst>
        </c:ser>
        <c:ser>
          <c:idx val="1"/>
          <c:order val="1"/>
          <c:tx>
            <c:strRef>
              <c:f>' RT03-F39 @ '!$E$96</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RT03-F39 @ '!$D$97:$D$102</c:f>
              <c:numCache>
                <c:formatCode>General</c:formatCode>
                <c:ptCount val="6"/>
                <c:pt idx="0">
                  <c:v>5</c:v>
                </c:pt>
                <c:pt idx="1">
                  <c:v>1000</c:v>
                </c:pt>
                <c:pt idx="2">
                  <c:v>2000</c:v>
                </c:pt>
                <c:pt idx="3">
                  <c:v>5000</c:v>
                </c:pt>
                <c:pt idx="4">
                  <c:v>5000</c:v>
                </c:pt>
                <c:pt idx="5">
                  <c:v>8200</c:v>
                </c:pt>
              </c:numCache>
            </c:numRef>
          </c:xVal>
          <c:yVal>
            <c:numRef>
              <c:f>' RT03-F39 @ '!$E$97:$E$102</c:f>
              <c:numCache>
                <c:formatCode>General</c:formatCode>
                <c:ptCount val="6"/>
                <c:pt idx="0">
                  <c:v>1</c:v>
                </c:pt>
                <c:pt idx="1">
                  <c:v>1</c:v>
                </c:pt>
                <c:pt idx="2">
                  <c:v>1</c:v>
                </c:pt>
                <c:pt idx="3">
                  <c:v>1</c:v>
                </c:pt>
                <c:pt idx="4">
                  <c:v>2</c:v>
                </c:pt>
                <c:pt idx="5">
                  <c:v>2</c:v>
                </c:pt>
              </c:numCache>
            </c:numRef>
          </c:yVal>
          <c:smooth val="0"/>
          <c:extLst xmlns:c16r2="http://schemas.microsoft.com/office/drawing/2015/06/chart">
            <c:ext xmlns:c16="http://schemas.microsoft.com/office/drawing/2014/chart" uri="{C3380CC4-5D6E-409C-BE32-E72D297353CC}">
              <c16:uniqueId val="{00000001-AB1D-4EFB-9B3B-AB03A0DDED75}"/>
            </c:ext>
          </c:extLst>
        </c:ser>
        <c:ser>
          <c:idx val="2"/>
          <c:order val="2"/>
          <c:tx>
            <c:strRef>
              <c:f>' RT03-F39 @ '!$F$96</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RT03-F39 @ '!$D$97:$D$102</c:f>
              <c:numCache>
                <c:formatCode>General</c:formatCode>
                <c:ptCount val="6"/>
                <c:pt idx="0">
                  <c:v>5</c:v>
                </c:pt>
                <c:pt idx="1">
                  <c:v>1000</c:v>
                </c:pt>
                <c:pt idx="2">
                  <c:v>2000</c:v>
                </c:pt>
                <c:pt idx="3">
                  <c:v>5000</c:v>
                </c:pt>
                <c:pt idx="4">
                  <c:v>5000</c:v>
                </c:pt>
                <c:pt idx="5">
                  <c:v>8200</c:v>
                </c:pt>
              </c:numCache>
            </c:numRef>
          </c:xVal>
          <c:yVal>
            <c:numRef>
              <c:f>' RT03-F39 @ '!$F$97:$F$102</c:f>
              <c:numCache>
                <c:formatCode>General</c:formatCode>
                <c:ptCount val="6"/>
                <c:pt idx="0">
                  <c:v>-1</c:v>
                </c:pt>
                <c:pt idx="1">
                  <c:v>-1</c:v>
                </c:pt>
                <c:pt idx="2">
                  <c:v>-1</c:v>
                </c:pt>
                <c:pt idx="3">
                  <c:v>-1</c:v>
                </c:pt>
                <c:pt idx="4">
                  <c:v>-2</c:v>
                </c:pt>
                <c:pt idx="5">
                  <c:v>-2</c:v>
                </c:pt>
              </c:numCache>
            </c:numRef>
          </c:yVal>
          <c:smooth val="0"/>
          <c:extLst xmlns:c16r2="http://schemas.microsoft.com/office/drawing/2015/06/chart">
            <c:ext xmlns:c16="http://schemas.microsoft.com/office/drawing/2014/chart" uri="{C3380CC4-5D6E-409C-BE32-E72D297353CC}">
              <c16:uniqueId val="{00000002-AB1D-4EFB-9B3B-AB03A0DDED75}"/>
            </c:ext>
          </c:extLst>
        </c:ser>
        <c:dLbls>
          <c:showLegendKey val="0"/>
          <c:showVal val="0"/>
          <c:showCatName val="0"/>
          <c:showSerName val="0"/>
          <c:showPercent val="0"/>
          <c:showBubbleSize val="0"/>
        </c:dLbls>
        <c:axId val="349214240"/>
        <c:axId val="349216960"/>
      </c:scatterChart>
      <c:valAx>
        <c:axId val="349214240"/>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n-US">
                    <a:solidFill>
                      <a:schemeClr val="tx1"/>
                    </a:solidFill>
                  </a:rPr>
                  <a:t>CARGA </a:t>
                </a:r>
                <a:r>
                  <a:rPr lang="en-US" cap="none" baseline="0">
                    <a:solidFill>
                      <a:schemeClr val="tx1"/>
                    </a:solidFill>
                    <a:latin typeface="Arial" panose="020B0604020202020204" pitchFamily="34" charset="0"/>
                  </a:rPr>
                  <a:t>g</a:t>
                </a:r>
                <a:r>
                  <a:rPr lang="en-US">
                    <a:solidFill>
                      <a:schemeClr val="tx1"/>
                    </a:solidFill>
                  </a:rPr>
                  <a:t> </a:t>
                </a:r>
                <a:r>
                  <a:rPr lang="en-US" baseline="0">
                    <a:solidFill>
                      <a:schemeClr val="tx1"/>
                    </a:solidFill>
                  </a:rPr>
                  <a:t> </a:t>
                </a:r>
                <a:r>
                  <a:rPr lang="en-US">
                    <a:solidFill>
                      <a:schemeClr val="tx1"/>
                    </a:solidFill>
                  </a:rPr>
                  <a:t>  </a:t>
                </a:r>
              </a:p>
            </c:rich>
          </c:tx>
          <c:overlay val="0"/>
          <c:spPr>
            <a:noFill/>
            <a:ln>
              <a:noFill/>
            </a:ln>
            <a:effectLst/>
          </c:spPr>
          <c:txPr>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349216960"/>
        <c:crosses val="autoZero"/>
        <c:crossBetween val="midCat"/>
      </c:valAx>
      <c:valAx>
        <c:axId val="349216960"/>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s-CO">
                    <a:solidFill>
                      <a:schemeClr val="tx1"/>
                    </a:solidFill>
                  </a:rPr>
                  <a:t>error </a:t>
                </a:r>
                <a:r>
                  <a:rPr lang="es-CO" cap="none" baseline="0">
                    <a:solidFill>
                      <a:schemeClr val="tx1"/>
                    </a:solidFill>
                  </a:rPr>
                  <a:t>g</a:t>
                </a:r>
              </a:p>
            </c:rich>
          </c:tx>
          <c:overlay val="0"/>
          <c:spPr>
            <a:noFill/>
            <a:ln>
              <a:noFill/>
            </a:ln>
            <a:effectLst/>
          </c:spPr>
          <c:txPr>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0.0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349214240"/>
        <c:crosses val="autoZero"/>
        <c:crossBetween val="midCat"/>
      </c:valAx>
      <c:spPr>
        <a:noFill/>
        <a:ln>
          <a:noFill/>
        </a:ln>
        <a:effectLst/>
      </c:spPr>
    </c:plotArea>
    <c:plotVisOnly val="1"/>
    <c:dispBlanksAs val="gap"/>
    <c:showDLblsOverMax val="0"/>
  </c:chart>
  <c:spPr>
    <a:solidFill>
      <a:srgbClr val="FFC000">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'!$F$105:$F$107</c:f>
              <c:numCache>
                <c:formatCode>0.0</c:formatCode>
                <c:ptCount val="3"/>
                <c:pt idx="0" formatCode="General">
                  <c:v>33.200000000000003</c:v>
                </c:pt>
                <c:pt idx="1">
                  <c:v>51.2</c:v>
                </c:pt>
                <c:pt idx="2" formatCode="General">
                  <c:v>77.2</c:v>
                </c:pt>
              </c:numCache>
            </c:numRef>
          </c:xVal>
          <c:yVal>
            <c:numRef>
              <c:f>'DATOS @ '!$H$105:$H$107</c:f>
              <c:numCache>
                <c:formatCode>0.0</c:formatCode>
                <c:ptCount val="3"/>
                <c:pt idx="0" formatCode="General">
                  <c:v>-3.2</c:v>
                </c:pt>
                <c:pt idx="1">
                  <c:v>-1.2</c:v>
                </c:pt>
                <c:pt idx="2" formatCode="General">
                  <c:v>2.8</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339324944"/>
        <c:axId val="339327120"/>
      </c:scatterChart>
      <c:valAx>
        <c:axId val="3393249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39327120"/>
        <c:crosses val="autoZero"/>
        <c:crossBetween val="midCat"/>
      </c:valAx>
      <c:valAx>
        <c:axId val="3393271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393249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'!$A$108</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'!$F$108:$F$110</c:f>
              <c:numCache>
                <c:formatCode>General</c:formatCode>
                <c:ptCount val="3"/>
                <c:pt idx="0">
                  <c:v>698.2</c:v>
                </c:pt>
                <c:pt idx="1">
                  <c:v>798.4</c:v>
                </c:pt>
                <c:pt idx="2" formatCode="0.0">
                  <c:v>848.7</c:v>
                </c:pt>
              </c:numCache>
            </c:numRef>
          </c:xVal>
          <c:yVal>
            <c:numRef>
              <c:f>'DATOS @ '!$H$108:$H$110</c:f>
              <c:numCache>
                <c:formatCode>General</c:formatCode>
                <c:ptCount val="3"/>
                <c:pt idx="0" formatCode="0.000">
                  <c:v>-1.002</c:v>
                </c:pt>
                <c:pt idx="1">
                  <c:v>-0.77</c:v>
                </c:pt>
                <c:pt idx="2">
                  <c:v>-0.78</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339328752"/>
        <c:axId val="339329840"/>
      </c:scatterChart>
      <c:valAx>
        <c:axId val="3393287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39329840"/>
        <c:crosses val="autoZero"/>
        <c:crossBetween val="midCat"/>
      </c:valAx>
      <c:valAx>
        <c:axId val="3393298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393287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'!$A$113</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'!$F$113:$F$115</c:f>
              <c:numCache>
                <c:formatCode>General</c:formatCode>
                <c:ptCount val="3"/>
                <c:pt idx="0" formatCode="0.0">
                  <c:v>15.5</c:v>
                </c:pt>
                <c:pt idx="1">
                  <c:v>24.6</c:v>
                </c:pt>
                <c:pt idx="2">
                  <c:v>33.9</c:v>
                </c:pt>
              </c:numCache>
            </c:numRef>
          </c:xVal>
          <c:yVal>
            <c:numRef>
              <c:f>'DATOS @ '!$H$113:$H$115</c:f>
              <c:numCache>
                <c:formatCode>General</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5D46-4927-83DD-804D2FE4DB9C}"/>
            </c:ext>
          </c:extLst>
        </c:ser>
        <c:dLbls>
          <c:showLegendKey val="0"/>
          <c:showVal val="0"/>
          <c:showCatName val="0"/>
          <c:showSerName val="0"/>
          <c:showPercent val="0"/>
          <c:showBubbleSize val="0"/>
        </c:dLbls>
        <c:axId val="339332560"/>
        <c:axId val="339333104"/>
      </c:scatterChart>
      <c:valAx>
        <c:axId val="3393325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39333104"/>
        <c:crosses val="autoZero"/>
        <c:crossBetween val="midCat"/>
      </c:valAx>
      <c:valAx>
        <c:axId val="3393331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393325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'!$A$116</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4848414868416676"/>
                  <c:y val="-0.3484111918641014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'!$F$116:$F$118</c:f>
              <c:numCache>
                <c:formatCode>General</c:formatCode>
                <c:ptCount val="3"/>
                <c:pt idx="0">
                  <c:v>32.700000000000003</c:v>
                </c:pt>
                <c:pt idx="1">
                  <c:v>50.7</c:v>
                </c:pt>
                <c:pt idx="2">
                  <c:v>68.099999999999994</c:v>
                </c:pt>
              </c:numCache>
            </c:numRef>
          </c:xVal>
          <c:yVal>
            <c:numRef>
              <c:f>'DATOS @ '!$H$116:$H$118</c:f>
              <c:numCache>
                <c:formatCode>#,##0.0</c:formatCode>
                <c:ptCount val="3"/>
                <c:pt idx="0">
                  <c:v>-2.7</c:v>
                </c:pt>
                <c:pt idx="1">
                  <c:v>-0.7</c:v>
                </c:pt>
                <c:pt idx="2">
                  <c:v>1.8</c:v>
                </c:pt>
              </c:numCache>
            </c:numRef>
          </c:yVal>
          <c:smooth val="0"/>
          <c:extLst xmlns:c16r2="http://schemas.microsoft.com/office/drawing/2015/06/chart">
            <c:ext xmlns:c16="http://schemas.microsoft.com/office/drawing/2014/chart" uri="{C3380CC4-5D6E-409C-BE32-E72D297353CC}">
              <c16:uniqueId val="{00000002-75D0-4190-AB94-913453D119B4}"/>
            </c:ext>
          </c:extLst>
        </c:ser>
        <c:dLbls>
          <c:showLegendKey val="0"/>
          <c:showVal val="0"/>
          <c:showCatName val="0"/>
          <c:showSerName val="0"/>
          <c:showPercent val="0"/>
          <c:showBubbleSize val="0"/>
        </c:dLbls>
        <c:axId val="547359792"/>
        <c:axId val="547360880"/>
      </c:scatterChart>
      <c:valAx>
        <c:axId val="5473597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47360880"/>
        <c:crosses val="autoZero"/>
        <c:crossBetween val="midCat"/>
      </c:valAx>
      <c:valAx>
        <c:axId val="5473608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473597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'!$A$119</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'!$F$119:$F$121</c:f>
              <c:numCache>
                <c:formatCode>General</c:formatCode>
                <c:ptCount val="3"/>
                <c:pt idx="0" formatCode="0.0">
                  <c:v>397.5</c:v>
                </c:pt>
                <c:pt idx="1">
                  <c:v>798.5</c:v>
                </c:pt>
                <c:pt idx="2">
                  <c:v>1099.5999999999999</c:v>
                </c:pt>
              </c:numCache>
            </c:numRef>
          </c:xVal>
          <c:yVal>
            <c:numRef>
              <c:f>'DATOS @ '!$H$119:$H$121</c:f>
              <c:numCache>
                <c:formatCode>#,##0.00</c:formatCode>
                <c:ptCount val="3"/>
                <c:pt idx="0">
                  <c:v>-1.67</c:v>
                </c:pt>
                <c:pt idx="1">
                  <c:v>-0.7</c:v>
                </c:pt>
                <c:pt idx="2">
                  <c:v>-0.28999999999999998</c:v>
                </c:pt>
              </c:numCache>
            </c:numRef>
          </c:yVal>
          <c:smooth val="0"/>
          <c:extLst xmlns:c16r2="http://schemas.microsoft.com/office/drawing/2015/06/chart">
            <c:ext xmlns:c16="http://schemas.microsoft.com/office/drawing/2014/chart" uri="{C3380CC4-5D6E-409C-BE32-E72D297353CC}">
              <c16:uniqueId val="{00000002-611C-49AD-A6DE-8CBDA2D28F24}"/>
            </c:ext>
          </c:extLst>
        </c:ser>
        <c:dLbls>
          <c:showLegendKey val="0"/>
          <c:showVal val="0"/>
          <c:showCatName val="0"/>
          <c:showSerName val="0"/>
          <c:showPercent val="0"/>
          <c:showBubbleSize val="0"/>
        </c:dLbls>
        <c:axId val="547355440"/>
        <c:axId val="547361968"/>
      </c:scatterChart>
      <c:valAx>
        <c:axId val="5473554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47361968"/>
        <c:crosses val="autoZero"/>
        <c:crossBetween val="midCat"/>
      </c:valAx>
      <c:valAx>
        <c:axId val="5473619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473554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'!$A$124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'!$F$124:$F$126</c:f>
              <c:numCache>
                <c:formatCode>General</c:formatCode>
                <c:ptCount val="3"/>
                <c:pt idx="0" formatCode="0.0">
                  <c:v>15.3</c:v>
                </c:pt>
                <c:pt idx="1">
                  <c:v>24.8</c:v>
                </c:pt>
                <c:pt idx="2">
                  <c:v>29.6</c:v>
                </c:pt>
              </c:numCache>
            </c:numRef>
          </c:xVal>
          <c:yVal>
            <c:numRef>
              <c:f>'DATOS @ '!$H$124:$H$126</c:f>
              <c:numCache>
                <c:formatCode>0.0</c:formatCode>
                <c:ptCount val="3"/>
                <c:pt idx="0">
                  <c:v>-0.1</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559-4BD1-B837-A7E5F075929C}"/>
            </c:ext>
          </c:extLst>
        </c:ser>
        <c:dLbls>
          <c:showLegendKey val="0"/>
          <c:showVal val="0"/>
          <c:showCatName val="0"/>
          <c:showSerName val="0"/>
          <c:showPercent val="0"/>
          <c:showBubbleSize val="0"/>
        </c:dLbls>
        <c:axId val="547362512"/>
        <c:axId val="547363056"/>
      </c:scatterChart>
      <c:valAx>
        <c:axId val="5473625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47363056"/>
        <c:crosses val="autoZero"/>
        <c:crossBetween val="midCat"/>
      </c:valAx>
      <c:valAx>
        <c:axId val="5473630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473625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'!$A$127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'!$F$127:$F$129</c:f>
              <c:numCache>
                <c:formatCode>General</c:formatCode>
                <c:ptCount val="3"/>
                <c:pt idx="0">
                  <c:v>32.299999999999997</c:v>
                </c:pt>
                <c:pt idx="1">
                  <c:v>50.6</c:v>
                </c:pt>
                <c:pt idx="2">
                  <c:v>68.599999999999994</c:v>
                </c:pt>
              </c:numCache>
            </c:numRef>
          </c:xVal>
          <c:yVal>
            <c:numRef>
              <c:f>'DATOS @ '!$H$127:$H$129</c:f>
              <c:numCache>
                <c:formatCode>General</c:formatCode>
                <c:ptCount val="3"/>
                <c:pt idx="0">
                  <c:v>-2.2999999999999998</c:v>
                </c:pt>
                <c:pt idx="1">
                  <c:v>-0.6</c:v>
                </c:pt>
                <c:pt idx="2">
                  <c:v>1.4</c:v>
                </c:pt>
              </c:numCache>
            </c:numRef>
          </c:yVal>
          <c:smooth val="0"/>
          <c:extLst xmlns:c16r2="http://schemas.microsoft.com/office/drawing/2015/06/chart">
            <c:ext xmlns:c16="http://schemas.microsoft.com/office/drawing/2014/chart" uri="{C3380CC4-5D6E-409C-BE32-E72D297353CC}">
              <c16:uniqueId val="{00000002-EDFD-4AC2-830C-884BE4D638F8}"/>
            </c:ext>
          </c:extLst>
        </c:ser>
        <c:dLbls>
          <c:showLegendKey val="0"/>
          <c:showVal val="0"/>
          <c:showCatName val="0"/>
          <c:showSerName val="0"/>
          <c:showPercent val="0"/>
          <c:showBubbleSize val="0"/>
        </c:dLbls>
        <c:axId val="547363600"/>
        <c:axId val="547356528"/>
      </c:scatterChart>
      <c:valAx>
        <c:axId val="5473636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47356528"/>
        <c:crosses val="autoZero"/>
        <c:crossBetween val="midCat"/>
      </c:valAx>
      <c:valAx>
        <c:axId val="5473565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473636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'!$A$130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'!$F$130:$F$132</c:f>
              <c:numCache>
                <c:formatCode>General</c:formatCode>
                <c:ptCount val="3"/>
                <c:pt idx="0" formatCode="0.0">
                  <c:v>497.8</c:v>
                </c:pt>
                <c:pt idx="1">
                  <c:v>698.2</c:v>
                </c:pt>
                <c:pt idx="2">
                  <c:v>1098.8</c:v>
                </c:pt>
              </c:numCache>
            </c:numRef>
          </c:xVal>
          <c:yVal>
            <c:numRef>
              <c:f>'DATOS @ '!$H$130:$H$132</c:f>
              <c:numCache>
                <c:formatCode>0.00</c:formatCode>
                <c:ptCount val="3"/>
                <c:pt idx="0">
                  <c:v>-1.4</c:v>
                </c:pt>
                <c:pt idx="1">
                  <c:v>-0.92</c:v>
                </c:pt>
                <c:pt idx="2">
                  <c:v>-0.68</c:v>
                </c:pt>
              </c:numCache>
            </c:numRef>
          </c:yVal>
          <c:smooth val="0"/>
          <c:extLst xmlns:c16r2="http://schemas.microsoft.com/office/drawing/2015/06/chart">
            <c:ext xmlns:c16="http://schemas.microsoft.com/office/drawing/2014/chart" uri="{C3380CC4-5D6E-409C-BE32-E72D297353CC}">
              <c16:uniqueId val="{00000002-9010-4347-83E6-C438887EBD9B}"/>
            </c:ext>
          </c:extLst>
        </c:ser>
        <c:dLbls>
          <c:showLegendKey val="0"/>
          <c:showVal val="0"/>
          <c:showCatName val="0"/>
          <c:showSerName val="0"/>
          <c:showPercent val="0"/>
          <c:showBubbleSize val="0"/>
        </c:dLbls>
        <c:axId val="547364688"/>
        <c:axId val="547364144"/>
      </c:scatterChart>
      <c:valAx>
        <c:axId val="5473646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47364144"/>
        <c:crosses val="autoZero"/>
        <c:crossBetween val="midCat"/>
      </c:valAx>
      <c:valAx>
        <c:axId val="5473641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473646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16.xml"/><Relationship Id="rId6" Type="http://schemas.openxmlformats.org/officeDocument/2006/relationships/chart" Target="../charts/chart17.xml"/><Relationship Id="rId5" Type="http://schemas.openxmlformats.org/officeDocument/2006/relationships/image" Target="file:///\\Abeltran\publico\Logo%20completo.gif" TargetMode="Externa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8.xml"/><Relationship Id="rId2" Type="http://schemas.microsoft.com/office/2007/relationships/hdphoto" Target="../media/hdphoto1.wdp"/><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1339169</xdr:colOff>
      <xdr:row>104</xdr:row>
      <xdr:rowOff>214766</xdr:rowOff>
    </xdr:from>
    <xdr:to>
      <xdr:col>15</xdr:col>
      <xdr:colOff>696909</xdr:colOff>
      <xdr:row>107</xdr:row>
      <xdr:rowOff>350838</xdr:rowOff>
    </xdr:to>
    <xdr:graphicFrame macro="">
      <xdr:nvGraphicFramePr>
        <xdr:cNvPr id="11" name="Gráfico 10">
          <a:extLst>
            <a:ext uri="{FF2B5EF4-FFF2-40B4-BE49-F238E27FC236}">
              <a16:creationId xmlns:a16="http://schemas.microsoft.com/office/drawing/2014/main" xmlns=""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111125</xdr:colOff>
      <xdr:row>104</xdr:row>
      <xdr:rowOff>231775</xdr:rowOff>
    </xdr:from>
    <xdr:to>
      <xdr:col>17</xdr:col>
      <xdr:colOff>630915</xdr:colOff>
      <xdr:row>107</xdr:row>
      <xdr:rowOff>367847</xdr:rowOff>
    </xdr:to>
    <xdr:graphicFrame macro="">
      <xdr:nvGraphicFramePr>
        <xdr:cNvPr id="22" name="Gráfico 21">
          <a:extLst>
            <a:ext uri="{FF2B5EF4-FFF2-40B4-BE49-F238E27FC236}">
              <a16:creationId xmlns:a16="http://schemas.microsoft.com/office/drawing/2014/main" xmlns=""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193675</xdr:colOff>
      <xdr:row>104</xdr:row>
      <xdr:rowOff>268288</xdr:rowOff>
    </xdr:from>
    <xdr:to>
      <xdr:col>19</xdr:col>
      <xdr:colOff>942065</xdr:colOff>
      <xdr:row>108</xdr:row>
      <xdr:rowOff>23360</xdr:rowOff>
    </xdr:to>
    <xdr:graphicFrame macro="">
      <xdr:nvGraphicFramePr>
        <xdr:cNvPr id="23" name="Gráfico 22">
          <a:extLst>
            <a:ext uri="{FF2B5EF4-FFF2-40B4-BE49-F238E27FC236}">
              <a16:creationId xmlns:a16="http://schemas.microsoft.com/office/drawing/2014/main" xmlns=""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112713</xdr:colOff>
      <xdr:row>115</xdr:row>
      <xdr:rowOff>238125</xdr:rowOff>
    </xdr:from>
    <xdr:to>
      <xdr:col>15</xdr:col>
      <xdr:colOff>861103</xdr:colOff>
      <xdr:row>118</xdr:row>
      <xdr:rowOff>374197</xdr:rowOff>
    </xdr:to>
    <xdr:graphicFrame macro="">
      <xdr:nvGraphicFramePr>
        <xdr:cNvPr id="25" name="Gráfico 24">
          <a:extLst>
            <a:ext uri="{FF2B5EF4-FFF2-40B4-BE49-F238E27FC236}">
              <a16:creationId xmlns:a16="http://schemas.microsoft.com/office/drawing/2014/main" xmlns=""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188913</xdr:colOff>
      <xdr:row>115</xdr:row>
      <xdr:rowOff>228601</xdr:rowOff>
    </xdr:from>
    <xdr:to>
      <xdr:col>17</xdr:col>
      <xdr:colOff>708703</xdr:colOff>
      <xdr:row>118</xdr:row>
      <xdr:rowOff>364673</xdr:rowOff>
    </xdr:to>
    <xdr:graphicFrame macro="">
      <xdr:nvGraphicFramePr>
        <xdr:cNvPr id="26" name="Gráfico 25">
          <a:extLst>
            <a:ext uri="{FF2B5EF4-FFF2-40B4-BE49-F238E27FC236}">
              <a16:creationId xmlns:a16="http://schemas.microsoft.com/office/drawing/2014/main" xmlns=""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206375</xdr:colOff>
      <xdr:row>115</xdr:row>
      <xdr:rowOff>250825</xdr:rowOff>
    </xdr:from>
    <xdr:to>
      <xdr:col>19</xdr:col>
      <xdr:colOff>954765</xdr:colOff>
      <xdr:row>119</xdr:row>
      <xdr:rowOff>5897</xdr:rowOff>
    </xdr:to>
    <xdr:graphicFrame macro="">
      <xdr:nvGraphicFramePr>
        <xdr:cNvPr id="27" name="Gráfico 26">
          <a:extLst>
            <a:ext uri="{FF2B5EF4-FFF2-40B4-BE49-F238E27FC236}">
              <a16:creationId xmlns:a16="http://schemas.microsoft.com/office/drawing/2014/main" xmlns=""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87313</xdr:colOff>
      <xdr:row>126</xdr:row>
      <xdr:rowOff>269875</xdr:rowOff>
    </xdr:from>
    <xdr:to>
      <xdr:col>15</xdr:col>
      <xdr:colOff>835703</xdr:colOff>
      <xdr:row>130</xdr:row>
      <xdr:rowOff>24947</xdr:rowOff>
    </xdr:to>
    <xdr:graphicFrame macro="">
      <xdr:nvGraphicFramePr>
        <xdr:cNvPr id="28" name="Gráfico 27">
          <a:extLst>
            <a:ext uri="{FF2B5EF4-FFF2-40B4-BE49-F238E27FC236}">
              <a16:creationId xmlns:a16="http://schemas.microsoft.com/office/drawing/2014/main" xmlns=""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269875</xdr:colOff>
      <xdr:row>126</xdr:row>
      <xdr:rowOff>293688</xdr:rowOff>
    </xdr:from>
    <xdr:to>
      <xdr:col>17</xdr:col>
      <xdr:colOff>780140</xdr:colOff>
      <xdr:row>130</xdr:row>
      <xdr:rowOff>48760</xdr:rowOff>
    </xdr:to>
    <xdr:graphicFrame macro="">
      <xdr:nvGraphicFramePr>
        <xdr:cNvPr id="29" name="Gráfico 28">
          <a:extLst>
            <a:ext uri="{FF2B5EF4-FFF2-40B4-BE49-F238E27FC236}">
              <a16:creationId xmlns:a16="http://schemas.microsoft.com/office/drawing/2014/main" xmlns=""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468312</xdr:colOff>
      <xdr:row>126</xdr:row>
      <xdr:rowOff>277813</xdr:rowOff>
    </xdr:from>
    <xdr:to>
      <xdr:col>19</xdr:col>
      <xdr:colOff>1216702</xdr:colOff>
      <xdr:row>130</xdr:row>
      <xdr:rowOff>32885</xdr:rowOff>
    </xdr:to>
    <xdr:graphicFrame macro="">
      <xdr:nvGraphicFramePr>
        <xdr:cNvPr id="31" name="Gráfico 30">
          <a:extLst>
            <a:ext uri="{FF2B5EF4-FFF2-40B4-BE49-F238E27FC236}">
              <a16:creationId xmlns:a16="http://schemas.microsoft.com/office/drawing/2014/main" xmlns=""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1377723</xdr:colOff>
      <xdr:row>136</xdr:row>
      <xdr:rowOff>276679</xdr:rowOff>
    </xdr:from>
    <xdr:to>
      <xdr:col>15</xdr:col>
      <xdr:colOff>738185</xdr:colOff>
      <xdr:row>140</xdr:row>
      <xdr:rowOff>31751</xdr:rowOff>
    </xdr:to>
    <xdr:graphicFrame macro="">
      <xdr:nvGraphicFramePr>
        <xdr:cNvPr id="32" name="Gráfico 31">
          <a:extLst>
            <a:ext uri="{FF2B5EF4-FFF2-40B4-BE49-F238E27FC236}">
              <a16:creationId xmlns:a16="http://schemas.microsoft.com/office/drawing/2014/main" xmlns=""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137205</xdr:colOff>
      <xdr:row>136</xdr:row>
      <xdr:rowOff>285750</xdr:rowOff>
    </xdr:from>
    <xdr:to>
      <xdr:col>17</xdr:col>
      <xdr:colOff>654274</xdr:colOff>
      <xdr:row>140</xdr:row>
      <xdr:rowOff>40822</xdr:rowOff>
    </xdr:to>
    <xdr:graphicFrame macro="">
      <xdr:nvGraphicFramePr>
        <xdr:cNvPr id="33" name="Gráfico 32">
          <a:extLst>
            <a:ext uri="{FF2B5EF4-FFF2-40B4-BE49-F238E27FC236}">
              <a16:creationId xmlns:a16="http://schemas.microsoft.com/office/drawing/2014/main" xmlns=""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295956</xdr:colOff>
      <xdr:row>136</xdr:row>
      <xdr:rowOff>343581</xdr:rowOff>
    </xdr:from>
    <xdr:to>
      <xdr:col>19</xdr:col>
      <xdr:colOff>1044346</xdr:colOff>
      <xdr:row>140</xdr:row>
      <xdr:rowOff>98653</xdr:rowOff>
    </xdr:to>
    <xdr:graphicFrame macro="">
      <xdr:nvGraphicFramePr>
        <xdr:cNvPr id="35" name="Gráfico 34">
          <a:extLst>
            <a:ext uri="{FF2B5EF4-FFF2-40B4-BE49-F238E27FC236}">
              <a16:creationId xmlns:a16="http://schemas.microsoft.com/office/drawing/2014/main" xmlns=""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127000</xdr:colOff>
      <xdr:row>146</xdr:row>
      <xdr:rowOff>305593</xdr:rowOff>
    </xdr:from>
    <xdr:to>
      <xdr:col>15</xdr:col>
      <xdr:colOff>875390</xdr:colOff>
      <xdr:row>150</xdr:row>
      <xdr:rowOff>60665</xdr:rowOff>
    </xdr:to>
    <xdr:graphicFrame macro="">
      <xdr:nvGraphicFramePr>
        <xdr:cNvPr id="37" name="Gráfico 36">
          <a:extLst>
            <a:ext uri="{FF2B5EF4-FFF2-40B4-BE49-F238E27FC236}">
              <a16:creationId xmlns:a16="http://schemas.microsoft.com/office/drawing/2014/main" xmlns=""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265907</xdr:colOff>
      <xdr:row>146</xdr:row>
      <xdr:rowOff>337345</xdr:rowOff>
    </xdr:from>
    <xdr:to>
      <xdr:col>17</xdr:col>
      <xdr:colOff>776172</xdr:colOff>
      <xdr:row>150</xdr:row>
      <xdr:rowOff>92417</xdr:rowOff>
    </xdr:to>
    <xdr:graphicFrame macro="">
      <xdr:nvGraphicFramePr>
        <xdr:cNvPr id="39" name="Gráfico 38">
          <a:extLst>
            <a:ext uri="{FF2B5EF4-FFF2-40B4-BE49-F238E27FC236}">
              <a16:creationId xmlns:a16="http://schemas.microsoft.com/office/drawing/2014/main" xmlns=""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337344</xdr:colOff>
      <xdr:row>146</xdr:row>
      <xdr:rowOff>257969</xdr:rowOff>
    </xdr:from>
    <xdr:to>
      <xdr:col>19</xdr:col>
      <xdr:colOff>1085734</xdr:colOff>
      <xdr:row>150</xdr:row>
      <xdr:rowOff>13041</xdr:rowOff>
    </xdr:to>
    <xdr:graphicFrame macro="">
      <xdr:nvGraphicFramePr>
        <xdr:cNvPr id="41" name="Gráfico 40">
          <a:extLst>
            <a:ext uri="{FF2B5EF4-FFF2-40B4-BE49-F238E27FC236}">
              <a16:creationId xmlns:a16="http://schemas.microsoft.com/office/drawing/2014/main" xmlns=""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281745</xdr:colOff>
      <xdr:row>72</xdr:row>
      <xdr:rowOff>25950</xdr:rowOff>
    </xdr:from>
    <xdr:ext cx="2025739" cy="3537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xmlns="" id="{00000000-0008-0000-0200-000002000000}"/>
                </a:ext>
              </a:extLst>
            </xdr:cNvPr>
            <xdr:cNvSpPr txBox="1"/>
          </xdr:nvSpPr>
          <xdr:spPr>
            <a:xfrm>
              <a:off x="2377245" y="25634593"/>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panose="02040503050406030204" pitchFamily="18" charset="0"/>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2" name="CuadroTexto 1"/>
            <xdr:cNvSpPr txBox="1"/>
          </xdr:nvSpPr>
          <xdr:spPr>
            <a:xfrm>
              <a:off x="2377245" y="25634593"/>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a:t>
              </a:r>
              <a:endParaRPr lang="es-CO" sz="1000" b="1"/>
            </a:p>
          </xdr:txBody>
        </xdr:sp>
      </mc:Fallback>
    </mc:AlternateContent>
    <xdr:clientData/>
  </xdr:oneCellAnchor>
  <xdr:oneCellAnchor>
    <xdr:from>
      <xdr:col>10</xdr:col>
      <xdr:colOff>379344</xdr:colOff>
      <xdr:row>81</xdr:row>
      <xdr:rowOff>192983</xdr:rowOff>
    </xdr:from>
    <xdr:ext cx="65" cy="172227"/>
    <xdr:sp macro="" textlink="">
      <xdr:nvSpPr>
        <xdr:cNvPr id="3" name="CuadroTexto 2">
          <a:extLst>
            <a:ext uri="{FF2B5EF4-FFF2-40B4-BE49-F238E27FC236}">
              <a16:creationId xmlns:a16="http://schemas.microsoft.com/office/drawing/2014/main" xmlns="" id="{00000000-0008-0000-0200-000003000000}"/>
            </a:ext>
          </a:extLst>
        </xdr:cNvPr>
        <xdr:cNvSpPr txBox="1"/>
      </xdr:nvSpPr>
      <xdr:spPr>
        <a:xfrm>
          <a:off x="13714344" y="320541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59</xdr:row>
      <xdr:rowOff>117231</xdr:rowOff>
    </xdr:from>
    <xdr:ext cx="65" cy="172227"/>
    <xdr:sp macro="" textlink="">
      <xdr:nvSpPr>
        <xdr:cNvPr id="4" name="CuadroTexto 3">
          <a:extLst>
            <a:ext uri="{FF2B5EF4-FFF2-40B4-BE49-F238E27FC236}">
              <a16:creationId xmlns:a16="http://schemas.microsoft.com/office/drawing/2014/main" xmlns="" id="{00000000-0008-0000-0200-000004000000}"/>
            </a:ext>
          </a:extLst>
        </xdr:cNvPr>
        <xdr:cNvSpPr txBox="1"/>
      </xdr:nvSpPr>
      <xdr:spPr>
        <a:xfrm>
          <a:off x="1142267" y="25006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58</xdr:row>
      <xdr:rowOff>95983</xdr:rowOff>
    </xdr:from>
    <xdr:ext cx="65" cy="172227"/>
    <xdr:sp macro="" textlink="">
      <xdr:nvSpPr>
        <xdr:cNvPr id="5" name="CuadroTexto 4">
          <a:extLst>
            <a:ext uri="{FF2B5EF4-FFF2-40B4-BE49-F238E27FC236}">
              <a16:creationId xmlns:a16="http://schemas.microsoft.com/office/drawing/2014/main" xmlns="" id="{00000000-0008-0000-0200-000005000000}"/>
            </a:ext>
          </a:extLst>
        </xdr:cNvPr>
        <xdr:cNvSpPr txBox="1"/>
      </xdr:nvSpPr>
      <xdr:spPr>
        <a:xfrm>
          <a:off x="1190625" y="221844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38</xdr:row>
      <xdr:rowOff>2596</xdr:rowOff>
    </xdr:from>
    <xdr:ext cx="796052" cy="21050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200-000006000000}"/>
                </a:ext>
              </a:extLst>
            </xdr:cNvPr>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panose="02040503050406030204" pitchFamily="18" charset="0"/>
                        </a:rPr>
                      </m:ctrlPr>
                    </m:sSubPr>
                    <m:e>
                      <m:d>
                        <m:dPr>
                          <m:begChr m:val="|"/>
                          <m:endChr m:val="|"/>
                          <m:ctrlPr>
                            <a:rPr lang="es-CO" sz="1200" b="1" i="1">
                              <a:solidFill>
                                <a:schemeClr val="tx1"/>
                              </a:solidFill>
                              <a:effectLst/>
                              <a:latin typeface="Cambria Math" panose="02040503050406030204" pitchFamily="18" charset="0"/>
                              <a:ea typeface="+mn-ea"/>
                              <a:cs typeface="+mn-cs"/>
                            </a:rPr>
                          </m:ctrlPr>
                        </m:dPr>
                        <m:e>
                          <m:sSub>
                            <m:sSubPr>
                              <m:ctrlPr>
                                <a:rPr lang="es-CO" sz="1200" b="1" i="1">
                                  <a:solidFill>
                                    <a:schemeClr val="tx1"/>
                                  </a:solidFill>
                                  <a:effectLst/>
                                  <a:latin typeface="Cambria Math" panose="02040503050406030204" pitchFamily="18" charset="0"/>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2</xdr:col>
      <xdr:colOff>272761</xdr:colOff>
      <xdr:row>76</xdr:row>
      <xdr:rowOff>19050</xdr:rowOff>
    </xdr:from>
    <xdr:ext cx="2314575" cy="361949"/>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200-000007000000}"/>
                </a:ext>
              </a:extLst>
            </xdr:cNvPr>
            <xdr:cNvSpPr txBox="1"/>
          </xdr:nvSpPr>
          <xdr:spPr>
            <a:xfrm>
              <a:off x="2177761" y="25527000"/>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CO" sz="1100" b="1" i="1">
                          <a:solidFill>
                            <a:schemeClr val="tx1"/>
                          </a:solidFill>
                          <a:effectLst/>
                          <a:latin typeface="Cambria Math" panose="02040503050406030204" pitchFamily="18" charset="0"/>
                          <a:ea typeface="+mn-ea"/>
                          <a:cs typeface="+mn-cs"/>
                        </a:rPr>
                      </m:ctrlPr>
                    </m:sSupPr>
                    <m:e>
                      <m:r>
                        <a:rPr lang="es-CO" sz="1100" b="1" i="1">
                          <a:solidFill>
                            <a:schemeClr val="tx1"/>
                          </a:solidFill>
                          <a:effectLst/>
                          <a:latin typeface="Cambria Math" panose="02040503050406030204" pitchFamily="18" charset="0"/>
                          <a:ea typeface="+mn-ea"/>
                          <a:cs typeface="+mn-cs"/>
                        </a:rPr>
                        <m:t>𝒖</m:t>
                      </m:r>
                    </m:e>
                    <m:sup>
                      <m:r>
                        <a:rPr lang="es-CO" sz="1100" b="1" i="1">
                          <a:solidFill>
                            <a:schemeClr val="tx1"/>
                          </a:solidFill>
                          <a:effectLst/>
                          <a:latin typeface="Cambria Math" panose="02040503050406030204" pitchFamily="18" charset="0"/>
                          <a:ea typeface="+mn-ea"/>
                          <a:cs typeface="+mn-cs"/>
                        </a:rPr>
                        <m:t>𝟐</m:t>
                      </m:r>
                    </m:sup>
                  </m:sSup>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𝑰</m:t>
                      </m:r>
                    </m:e>
                  </m:d>
                  <m:r>
                    <a:rPr lang="es-CO" sz="1100" b="1"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𝑑</m:t>
                          </m:r>
                        </m:e>
                        <m:sup>
                          <m:r>
                            <a:rPr lang="es-CO" sz="1100" i="1">
                              <a:solidFill>
                                <a:schemeClr val="tx1"/>
                              </a:solidFill>
                              <a:effectLst/>
                              <a:latin typeface="Cambria Math" panose="02040503050406030204" pitchFamily="18" charset="0"/>
                              <a:ea typeface="+mn-ea"/>
                              <a:cs typeface="+mn-cs"/>
                            </a:rPr>
                            <m:t>2</m:t>
                          </m:r>
                        </m:sup>
                      </m:sSup>
                    </m:num>
                    <m:den>
                      <m:r>
                        <a:rPr lang="es-CO" sz="1100" b="0" i="1">
                          <a:solidFill>
                            <a:schemeClr val="tx1"/>
                          </a:solidFill>
                          <a:effectLst/>
                          <a:latin typeface="Cambria Math" panose="02040503050406030204" pitchFamily="18" charset="0"/>
                          <a:ea typeface="+mn-ea"/>
                          <a:cs typeface="+mn-cs"/>
                        </a:rPr>
                        <m:t>12</m:t>
                      </m:r>
                    </m:den>
                  </m:f>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𝑠</m:t>
                      </m:r>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panose="02040503050406030204" pitchFamily="18" charset="0"/>
                          <a:ea typeface="+mn-ea"/>
                          <a:cs typeface="+mn-cs"/>
                        </a:rPr>
                      </m:ctrlPr>
                    </m:dPr>
                    <m:e>
                      <m:r>
                        <a:rPr lang="es-CO" sz="1100" i="1">
                          <a:solidFill>
                            <a:schemeClr val="tx1"/>
                          </a:solidFill>
                          <a:effectLst/>
                          <a:latin typeface="Cambria Math" panose="02040503050406030204" pitchFamily="18" charset="0"/>
                          <a:ea typeface="+mn-ea"/>
                          <a:cs typeface="+mn-cs"/>
                        </a:rPr>
                        <m:t>𝐼</m:t>
                      </m:r>
                    </m:e>
                  </m:d>
                  <m:r>
                    <a:rPr lang="es-CO" sz="1100" i="1">
                      <a:solidFill>
                        <a:schemeClr val="tx1"/>
                      </a:solidFill>
                      <a:effectLst/>
                      <a:latin typeface="Cambria Math" panose="02040503050406030204" pitchFamily="18" charset="0"/>
                      <a:ea typeface="+mn-ea"/>
                      <a:cs typeface="+mn-cs"/>
                    </a:rPr>
                    <m:t>+ </m:t>
                  </m:r>
                  <m:sSup>
                    <m:sSupPr>
                      <m:ctrlPr>
                        <a:rPr lang="es-CO" sz="1100" i="1">
                          <a:solidFill>
                            <a:schemeClr val="tx1"/>
                          </a:solidFill>
                          <a:effectLst/>
                          <a:latin typeface="Cambria Math" panose="02040503050406030204" pitchFamily="18" charset="0"/>
                          <a:ea typeface="+mn-ea"/>
                          <a:cs typeface="+mn-cs"/>
                        </a:rPr>
                      </m:ctrlPr>
                    </m:sSupPr>
                    <m:e>
                      <m:acc>
                        <m:accPr>
                          <m:chr m:val="̂"/>
                          <m:ctrlPr>
                            <a:rPr lang="es-CO" sz="1100" i="1">
                              <a:solidFill>
                                <a:schemeClr val="tx1"/>
                              </a:solidFill>
                              <a:effectLst/>
                              <a:latin typeface="Cambria Math" panose="02040503050406030204" pitchFamily="18" charset="0"/>
                              <a:ea typeface="+mn-ea"/>
                              <a:cs typeface="+mn-cs"/>
                            </a:rPr>
                          </m:ctrlPr>
                        </m:accPr>
                        <m:e>
                          <m:r>
                            <a:rPr lang="es-CO" sz="1100" i="1">
                              <a:solidFill>
                                <a:schemeClr val="tx1"/>
                              </a:solidFill>
                              <a:effectLst/>
                              <a:latin typeface="Cambria Math" panose="02040503050406030204" pitchFamily="18" charset="0"/>
                              <a:ea typeface="+mn-ea"/>
                              <a:cs typeface="+mn-cs"/>
                            </a:rPr>
                            <m:t>𝑤</m:t>
                          </m:r>
                        </m:e>
                      </m:acc>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panose="02040503050406030204" pitchFamily="18" charset="0"/>
                          <a:ea typeface="+mn-ea"/>
                          <a:cs typeface="+mn-cs"/>
                        </a:rPr>
                      </m:ctrlPr>
                    </m:dPr>
                    <m:e>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𝐼</m:t>
                          </m:r>
                        </m:e>
                        <m:sub>
                          <m:r>
                            <a:rPr lang="es-CO" sz="1100" i="1">
                              <a:solidFill>
                                <a:schemeClr val="tx1"/>
                              </a:solidFill>
                              <a:effectLst/>
                              <a:latin typeface="Cambria Math" panose="02040503050406030204" pitchFamily="18" charset="0"/>
                              <a:ea typeface="+mn-ea"/>
                              <a:cs typeface="+mn-cs"/>
                            </a:rPr>
                            <m:t>𝑒𝑐𝑐</m:t>
                          </m:r>
                        </m:sub>
                      </m:sSub>
                    </m:e>
                  </m:d>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𝐼</m:t>
                      </m:r>
                    </m:e>
                    <m:sup>
                      <m:r>
                        <a:rPr lang="es-CO" sz="1100" i="1">
                          <a:solidFill>
                            <a:schemeClr val="tx1"/>
                          </a:solidFill>
                          <a:effectLst/>
                          <a:latin typeface="Cambria Math" panose="02040503050406030204" pitchFamily="18" charset="0"/>
                          <a:ea typeface="+mn-ea"/>
                          <a:cs typeface="+mn-cs"/>
                        </a:rPr>
                        <m:t>2</m:t>
                      </m:r>
                    </m:sup>
                  </m:sSup>
                </m:oMath>
              </a14:m>
              <a:r>
                <a:rPr lang="es-CO" sz="1100">
                  <a:solidFill>
                    <a:schemeClr val="tx1"/>
                  </a:solidFill>
                  <a:effectLst/>
                  <a:latin typeface="+mn-lt"/>
                  <a:ea typeface="+mn-ea"/>
                  <a:cs typeface="+mn-cs"/>
                </a:rPr>
                <a:t>+</a:t>
              </a:r>
              <a14:m>
                <m:oMath xmlns:m="http://schemas.openxmlformats.org/officeDocument/2006/math">
                  <m:f>
                    <m:fPr>
                      <m:ctrlPr>
                        <a:rPr lang="es-CO" sz="1100" i="1">
                          <a:solidFill>
                            <a:schemeClr val="tx1"/>
                          </a:solidFill>
                          <a:effectLst/>
                          <a:latin typeface="Cambria Math" panose="02040503050406030204" pitchFamily="18" charset="0"/>
                          <a:ea typeface="+mn-ea"/>
                          <a:cs typeface="+mn-cs"/>
                        </a:rPr>
                      </m:ctrlPr>
                    </m:fPr>
                    <m:num>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𝑑</m:t>
                          </m:r>
                          <m:r>
                            <a:rPr lang="es-CO" sz="1100" b="0" i="1">
                              <a:solidFill>
                                <a:schemeClr val="tx1"/>
                              </a:solidFill>
                              <a:effectLst/>
                              <a:latin typeface="Cambria Math" panose="02040503050406030204" pitchFamily="18" charset="0"/>
                              <a:ea typeface="+mn-ea"/>
                              <a:cs typeface="+mn-cs"/>
                            </a:rPr>
                            <m:t>𝑖</m:t>
                          </m:r>
                        </m:e>
                        <m:sup>
                          <m:r>
                            <a:rPr lang="es-CO" sz="1100" i="1">
                              <a:solidFill>
                                <a:schemeClr val="tx1"/>
                              </a:solidFill>
                              <a:effectLst/>
                              <a:latin typeface="Cambria Math" panose="02040503050406030204" pitchFamily="18" charset="0"/>
                              <a:ea typeface="+mn-ea"/>
                              <a:cs typeface="+mn-cs"/>
                            </a:rPr>
                            <m:t>2</m:t>
                          </m:r>
                        </m:sup>
                      </m:sSup>
                    </m:num>
                    <m:den>
                      <m:r>
                        <a:rPr lang="es-CO" sz="1100" b="0" i="1">
                          <a:solidFill>
                            <a:schemeClr val="tx1"/>
                          </a:solidFill>
                          <a:effectLst/>
                          <a:latin typeface="Cambria Math" panose="02040503050406030204" pitchFamily="18" charset="0"/>
                          <a:ea typeface="+mn-ea"/>
                          <a:cs typeface="+mn-cs"/>
                        </a:rPr>
                        <m:t>12</m:t>
                      </m:r>
                    </m:den>
                  </m:f>
                </m:oMath>
              </a14:m>
              <a:endParaRPr lang="es-CO" sz="1100">
                <a:solidFill>
                  <a:schemeClr val="tx1"/>
                </a:solidFill>
                <a:effectLst/>
                <a:latin typeface="+mn-lt"/>
                <a:ea typeface="+mn-ea"/>
                <a:cs typeface="+mn-cs"/>
              </a:endParaRPr>
            </a:p>
            <a:p>
              <a:pPr algn="ctr"/>
              <a:endParaRPr lang="es-CO" sz="10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0200-000007000000}"/>
                </a:ext>
              </a:extLst>
            </xdr:cNvPr>
            <xdr:cNvSpPr txBox="1"/>
          </xdr:nvSpPr>
          <xdr:spPr>
            <a:xfrm>
              <a:off x="2177761" y="25527000"/>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𝒖^𝟐 (𝑰)=</a:t>
              </a:r>
              <a:r>
                <a:rPr lang="es-CO" sz="1100" i="0">
                  <a:solidFill>
                    <a:schemeClr val="tx1"/>
                  </a:solidFill>
                  <a:effectLst/>
                  <a:latin typeface="+mn-lt"/>
                  <a:ea typeface="+mn-ea"/>
                  <a:cs typeface="+mn-cs"/>
                </a:rPr>
                <a:t>𝑑^2/</a:t>
              </a:r>
              <a:r>
                <a:rPr lang="es-CO" sz="1100" b="0" i="0">
                  <a:solidFill>
                    <a:schemeClr val="tx1"/>
                  </a:solidFill>
                  <a:effectLst/>
                  <a:latin typeface="+mn-lt"/>
                  <a:ea typeface="+mn-ea"/>
                  <a:cs typeface="+mn-cs"/>
                </a:rPr>
                <a:t>12</a:t>
              </a:r>
              <a:r>
                <a:rPr lang="es-CO" sz="1100" i="0">
                  <a:solidFill>
                    <a:schemeClr val="tx1"/>
                  </a:solidFill>
                  <a:effectLst/>
                  <a:latin typeface="Cambria Math" panose="02040503050406030204" pitchFamily="18" charset="0"/>
                  <a:ea typeface="+mn-ea"/>
                  <a:cs typeface="+mn-cs"/>
                </a:rPr>
                <a:t>+𝑠^2 (𝐼)+ 𝑤 ̂^2 (𝛿𝐼_𝑒𝑐𝑐 ) 𝐼^2</a:t>
              </a:r>
              <a:r>
                <a:rPr lang="es-CO" sz="1100">
                  <a:solidFill>
                    <a:schemeClr val="tx1"/>
                  </a:solidFill>
                  <a:effectLst/>
                  <a:latin typeface="+mn-lt"/>
                  <a:ea typeface="+mn-ea"/>
                  <a:cs typeface="+mn-cs"/>
                </a:rPr>
                <a:t>+</a:t>
              </a:r>
              <a:r>
                <a:rPr lang="es-CO" sz="1100" i="0">
                  <a:solidFill>
                    <a:schemeClr val="tx1"/>
                  </a:solidFill>
                  <a:effectLst/>
                  <a:latin typeface="+mn-lt"/>
                  <a:ea typeface="+mn-ea"/>
                  <a:cs typeface="+mn-cs"/>
                </a:rPr>
                <a:t>〖𝑑</a:t>
              </a:r>
              <a:r>
                <a:rPr lang="es-CO" sz="1100" b="0" i="0">
                  <a:solidFill>
                    <a:schemeClr val="tx1"/>
                  </a:solidFill>
                  <a:effectLst/>
                  <a:latin typeface="Cambria Math" panose="02040503050406030204" pitchFamily="18" charset="0"/>
                  <a:ea typeface="+mn-ea"/>
                  <a:cs typeface="+mn-cs"/>
                </a:rPr>
                <a:t>𝑖</a:t>
              </a:r>
              <a:r>
                <a:rPr lang="es-CO" sz="1100" b="0" i="0">
                  <a:solidFill>
                    <a:schemeClr val="tx1"/>
                  </a:solidFill>
                  <a:effectLst/>
                  <a:latin typeface="+mn-lt"/>
                  <a:ea typeface="+mn-ea"/>
                  <a:cs typeface="+mn-cs"/>
                </a:rPr>
                <a:t>〗^</a:t>
              </a:r>
              <a:r>
                <a:rPr lang="es-CO" sz="1100" i="0">
                  <a:solidFill>
                    <a:schemeClr val="tx1"/>
                  </a:solidFill>
                  <a:effectLst/>
                  <a:latin typeface="+mn-lt"/>
                  <a:ea typeface="+mn-ea"/>
                  <a:cs typeface="+mn-cs"/>
                </a:rPr>
                <a:t>2/</a:t>
              </a:r>
              <a:r>
                <a:rPr lang="es-CO" sz="1100" b="0" i="0">
                  <a:solidFill>
                    <a:schemeClr val="tx1"/>
                  </a:solidFill>
                  <a:effectLst/>
                  <a:latin typeface="+mn-lt"/>
                  <a:ea typeface="+mn-ea"/>
                  <a:cs typeface="+mn-cs"/>
                </a:rPr>
                <a:t>12</a:t>
              </a:r>
              <a:endParaRPr lang="es-CO" sz="1100">
                <a:solidFill>
                  <a:schemeClr val="tx1"/>
                </a:solidFill>
                <a:effectLst/>
                <a:latin typeface="+mn-lt"/>
                <a:ea typeface="+mn-ea"/>
                <a:cs typeface="+mn-cs"/>
              </a:endParaRPr>
            </a:p>
            <a:p>
              <a:pPr algn="ctr"/>
              <a:endParaRPr lang="es-CO" sz="1000" b="1"/>
            </a:p>
          </xdr:txBody>
        </xdr:sp>
      </mc:Fallback>
    </mc:AlternateContent>
    <xdr:clientData/>
  </xdr:oneCellAnchor>
  <xdr:oneCellAnchor>
    <xdr:from>
      <xdr:col>2</xdr:col>
      <xdr:colOff>334242</xdr:colOff>
      <xdr:row>75</xdr:row>
      <xdr:rowOff>37234</xdr:rowOff>
    </xdr:from>
    <xdr:ext cx="1962150" cy="361949"/>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200-000008000000}"/>
                </a:ext>
              </a:extLst>
            </xdr:cNvPr>
            <xdr:cNvSpPr txBox="1"/>
          </xdr:nvSpPr>
          <xdr:spPr>
            <a:xfrm>
              <a:off x="2239242" y="2514513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0200-000008000000}"/>
                </a:ext>
              </a:extLst>
            </xdr:cNvPr>
            <xdr:cNvSpPr txBox="1"/>
          </xdr:nvSpPr>
          <xdr:spPr>
            <a:xfrm>
              <a:off x="2239242" y="2514513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420832</xdr:colOff>
      <xdr:row>73</xdr:row>
      <xdr:rowOff>95250</xdr:rowOff>
    </xdr:from>
    <xdr:ext cx="1304925" cy="295275"/>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9" name="CuadroTexto 8">
              <a:extLst>
                <a:ext uri="{FF2B5EF4-FFF2-40B4-BE49-F238E27FC236}">
                  <a16:creationId xmlns:a16="http://schemas.microsoft.com/office/drawing/2014/main"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𝑗)</a:t>
              </a:r>
              <a:endParaRPr lang="es-CO" sz="1100">
                <a:solidFill>
                  <a:schemeClr val="tx1"/>
                </a:solidFill>
                <a:effectLst/>
                <a:latin typeface="+mn-lt"/>
                <a:ea typeface="+mn-ea"/>
                <a:cs typeface="+mn-cs"/>
              </a:endParaRPr>
            </a:p>
          </xdr:txBody>
        </xdr:sp>
      </mc:Fallback>
    </mc:AlternateContent>
    <xdr:clientData/>
  </xdr:oneCellAnchor>
  <xdr:oneCellAnchor>
    <xdr:from>
      <xdr:col>2</xdr:col>
      <xdr:colOff>367516</xdr:colOff>
      <xdr:row>81</xdr:row>
      <xdr:rowOff>91540</xdr:rowOff>
    </xdr:from>
    <xdr:ext cx="2714625" cy="247650"/>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200-00000A000000}"/>
                </a:ext>
              </a:extLst>
            </xdr:cNvPr>
            <xdr:cNvSpPr txBox="1"/>
          </xdr:nvSpPr>
          <xdr:spPr>
            <a:xfrm>
              <a:off x="2463016" y="29183611"/>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10" name="CuadroTexto 9"/>
            <xdr:cNvSpPr txBox="1"/>
          </xdr:nvSpPr>
          <xdr:spPr>
            <a:xfrm>
              <a:off x="2463016" y="29183611"/>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Cambria Math" panose="02040503050406030204" pitchFamily="18" charset="0"/>
                  <a:ea typeface="+mn-ea"/>
                  <a:cs typeface="+mn-cs"/>
                </a:rPr>
                <a:t>𝑢^2 〖(𝑚〗_𝑟𝑒𝑓)</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𝛿𝑚_𝑐</a:t>
              </a:r>
              <a:r>
                <a:rPr lang="es-CO" sz="1100" b="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𝛿𝑚_𝐵</a:t>
              </a:r>
              <a:r>
                <a:rPr lang="es-CO" sz="1100" b="1"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𝛿𝑚_𝐷</a:t>
              </a:r>
              <a:r>
                <a:rPr lang="es-CO" sz="1100" b="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3</xdr:col>
      <xdr:colOff>77437</xdr:colOff>
      <xdr:row>78</xdr:row>
      <xdr:rowOff>65314</xdr:rowOff>
    </xdr:from>
    <xdr:ext cx="1304925" cy="295275"/>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200-00000B000000}"/>
                </a:ext>
              </a:extLst>
            </xdr:cNvPr>
            <xdr:cNvSpPr txBox="1"/>
          </xdr:nvSpPr>
          <xdr:spPr>
            <a:xfrm>
              <a:off x="3220687" y="27851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𝐾</m:t>
                    </m:r>
                  </m:oMath>
                </m:oMathPara>
              </a14:m>
              <a:endParaRPr lang="es-CO" sz="1100">
                <a:solidFill>
                  <a:schemeClr val="tx1"/>
                </a:solidFill>
                <a:effectLst/>
                <a:latin typeface="+mn-lt"/>
                <a:ea typeface="+mn-ea"/>
                <a:cs typeface="+mn-cs"/>
              </a:endParaRPr>
            </a:p>
          </xdr:txBody>
        </xdr:sp>
      </mc:Choice>
      <mc:Fallback xmlns="">
        <xdr:sp macro="" textlink="">
          <xdr:nvSpPr>
            <xdr:cNvPr id="11" name="CuadroTexto 10"/>
            <xdr:cNvSpPr txBox="1"/>
          </xdr:nvSpPr>
          <xdr:spPr>
            <a:xfrm>
              <a:off x="3220687" y="27851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𝑐  )=𝑈/𝐾</a:t>
              </a:r>
              <a:endParaRPr lang="es-CO" sz="1100">
                <a:solidFill>
                  <a:schemeClr val="tx1"/>
                </a:solidFill>
                <a:effectLst/>
                <a:latin typeface="+mn-lt"/>
                <a:ea typeface="+mn-ea"/>
                <a:cs typeface="+mn-cs"/>
              </a:endParaRPr>
            </a:p>
          </xdr:txBody>
        </xdr:sp>
      </mc:Fallback>
    </mc:AlternateContent>
    <xdr:clientData/>
  </xdr:oneCellAnchor>
  <xdr:oneCellAnchor>
    <xdr:from>
      <xdr:col>1</xdr:col>
      <xdr:colOff>129268</xdr:colOff>
      <xdr:row>100</xdr:row>
      <xdr:rowOff>81643</xdr:rowOff>
    </xdr:from>
    <xdr:ext cx="4102554" cy="285750"/>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200-00000C000000}"/>
                </a:ext>
              </a:extLst>
            </xdr:cNvPr>
            <xdr:cNvSpPr txBox="1"/>
          </xdr:nvSpPr>
          <xdr:spPr>
            <a:xfrm>
              <a:off x="1177018" y="36943393"/>
              <a:ext cx="4102554" cy="2857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left"/>
                  </m:oMathParaPr>
                  <m:oMath xmlns:m="http://schemas.openxmlformats.org/officeDocument/2006/math">
                    <m:r>
                      <m:rPr>
                        <m:sty m:val="p"/>
                      </m:rPr>
                      <a:rPr lang="es-CO" sz="1400" b="0" i="0">
                        <a:solidFill>
                          <a:schemeClr val="tx1"/>
                        </a:solidFill>
                        <a:effectLst/>
                        <a:latin typeface="Cambria Math" panose="02040503050406030204" pitchFamily="18" charset="0"/>
                        <a:ea typeface="+mn-ea"/>
                        <a:cs typeface="+mn-cs"/>
                      </a:rPr>
                      <m:t>INVERSA</m:t>
                    </m:r>
                    <m:r>
                      <a:rPr lang="es-CO" sz="1400" b="0" i="0">
                        <a:solidFill>
                          <a:schemeClr val="tx1"/>
                        </a:solidFill>
                        <a:effectLst/>
                        <a:latin typeface="Cambria Math" panose="02040503050406030204" pitchFamily="18" charset="0"/>
                        <a:ea typeface="+mn-ea"/>
                        <a:cs typeface="+mn-cs"/>
                      </a:rPr>
                      <m:t>.</m:t>
                    </m:r>
                    <m:r>
                      <m:rPr>
                        <m:sty m:val="p"/>
                      </m:rPr>
                      <a:rPr lang="es-CO" sz="1400" b="0" i="0">
                        <a:solidFill>
                          <a:schemeClr val="tx1"/>
                        </a:solidFill>
                        <a:effectLst/>
                        <a:latin typeface="Cambria Math" panose="02040503050406030204" pitchFamily="18" charset="0"/>
                        <a:ea typeface="+mn-ea"/>
                        <a:cs typeface="+mn-cs"/>
                      </a:rPr>
                      <m:t>T</m:t>
                    </m:r>
                    <m:r>
                      <a:rPr lang="es-CO" sz="1400" b="0" i="0">
                        <a:solidFill>
                          <a:schemeClr val="tx1"/>
                        </a:solidFill>
                        <a:effectLst/>
                        <a:latin typeface="Cambria Math" panose="02040503050406030204" pitchFamily="18" charset="0"/>
                        <a:ea typeface="+mn-ea"/>
                        <a:cs typeface="+mn-cs"/>
                      </a:rPr>
                      <m:t> </m:t>
                    </m:r>
                    <m:r>
                      <m:rPr>
                        <m:sty m:val="p"/>
                      </m:rPr>
                      <a:rPr lang="es-CO" sz="1400" b="0" i="0">
                        <a:solidFill>
                          <a:schemeClr val="tx1"/>
                        </a:solidFill>
                        <a:effectLst/>
                        <a:latin typeface="Cambria Math" panose="02040503050406030204" pitchFamily="18" charset="0"/>
                        <a:ea typeface="+mn-ea"/>
                        <a:cs typeface="+mn-cs"/>
                      </a:rPr>
                      <m:t>STUDEND</m:t>
                    </m:r>
                    <m:r>
                      <a:rPr lang="es-CO" sz="1400" b="0" i="0">
                        <a:solidFill>
                          <a:schemeClr val="tx1"/>
                        </a:solidFill>
                        <a:effectLst/>
                        <a:latin typeface="Cambria Math" panose="02040503050406030204" pitchFamily="18" charset="0"/>
                        <a:ea typeface="+mn-ea"/>
                        <a:cs typeface="+mn-cs"/>
                      </a:rPr>
                      <m:t>.2</m:t>
                    </m:r>
                    <m:r>
                      <m:rPr>
                        <m:sty m:val="p"/>
                      </m:rPr>
                      <a:rPr lang="es-CO" sz="1400" b="0" i="0">
                        <a:solidFill>
                          <a:schemeClr val="tx1"/>
                        </a:solidFill>
                        <a:effectLst/>
                        <a:latin typeface="Cambria Math" panose="02040503050406030204" pitchFamily="18" charset="0"/>
                        <a:ea typeface="+mn-ea"/>
                        <a:cs typeface="+mn-cs"/>
                      </a:rPr>
                      <m:t>C</m:t>
                    </m:r>
                    <m:r>
                      <a:rPr lang="es-CO" sz="1400" b="0" i="0">
                        <a:solidFill>
                          <a:schemeClr val="tx1"/>
                        </a:solidFill>
                        <a:effectLst/>
                        <a:latin typeface="Cambria Math" panose="02040503050406030204" pitchFamily="18" charset="0"/>
                        <a:ea typeface="+mn-ea"/>
                        <a:cs typeface="+mn-cs"/>
                      </a:rPr>
                      <m:t>(100</m:t>
                    </m:r>
                    <m:r>
                      <a:rPr lang="es-CO" sz="1400" b="0" i="1">
                        <a:solidFill>
                          <a:schemeClr val="tx1"/>
                        </a:solidFill>
                        <a:effectLst/>
                        <a:latin typeface="Cambria Math" panose="02040503050406030204" pitchFamily="18" charset="0"/>
                        <a:ea typeface="+mn-ea"/>
                        <a:cs typeface="+mn-cs"/>
                      </a:rPr>
                      <m:t>%−95 %  ;</m:t>
                    </m:r>
                    <m:sSub>
                      <m:sSubPr>
                        <m:ctrlPr>
                          <a:rPr lang="es-CO" sz="1400" i="1">
                            <a:solidFill>
                              <a:schemeClr val="tx1"/>
                            </a:solidFill>
                            <a:effectLst/>
                            <a:latin typeface="Cambria Math" panose="02040503050406030204" pitchFamily="18" charset="0"/>
                            <a:ea typeface="+mn-ea"/>
                            <a:cs typeface="+mn-cs"/>
                          </a:rPr>
                        </m:ctrlPr>
                      </m:sSubPr>
                      <m:e>
                        <m:r>
                          <a:rPr lang="es-CO" sz="1400" i="1">
                            <a:solidFill>
                              <a:schemeClr val="tx1"/>
                            </a:solidFill>
                            <a:effectLst/>
                            <a:latin typeface="Cambria Math" panose="02040503050406030204" pitchFamily="18" charset="0"/>
                            <a:ea typeface="+mn-ea"/>
                            <a:cs typeface="+mn-cs"/>
                          </a:rPr>
                          <m:t>𝑣</m:t>
                        </m:r>
                      </m:e>
                      <m:sub>
                        <m:r>
                          <a:rPr lang="es-CO" sz="1400" i="1">
                            <a:solidFill>
                              <a:schemeClr val="tx1"/>
                            </a:solidFill>
                            <a:effectLst/>
                            <a:latin typeface="Cambria Math" panose="02040503050406030204" pitchFamily="18" charset="0"/>
                            <a:ea typeface="+mn-ea"/>
                            <a:cs typeface="+mn-cs"/>
                          </a:rPr>
                          <m:t>𝑒𝑓𝑓</m:t>
                        </m:r>
                        <m:r>
                          <a:rPr lang="es-CO" sz="1400" i="1">
                            <a:solidFill>
                              <a:schemeClr val="tx1"/>
                            </a:solidFill>
                            <a:effectLst/>
                            <a:latin typeface="Cambria Math" panose="02040503050406030204" pitchFamily="18" charset="0"/>
                            <a:ea typeface="+mn-ea"/>
                            <a:cs typeface="+mn-cs"/>
                          </a:rPr>
                          <m:t>(</m:t>
                        </m:r>
                        <m:r>
                          <a:rPr lang="es-CO" sz="1400" i="1">
                            <a:solidFill>
                              <a:schemeClr val="tx1"/>
                            </a:solidFill>
                            <a:effectLst/>
                            <a:latin typeface="Cambria Math" panose="02040503050406030204" pitchFamily="18" charset="0"/>
                            <a:ea typeface="+mn-ea"/>
                            <a:cs typeface="+mn-cs"/>
                          </a:rPr>
                          <m:t>𝐸</m:t>
                        </m:r>
                        <m:r>
                          <a:rPr lang="es-CO" sz="1400" i="1">
                            <a:solidFill>
                              <a:schemeClr val="tx1"/>
                            </a:solidFill>
                            <a:effectLst/>
                            <a:latin typeface="Cambria Math" panose="02040503050406030204" pitchFamily="18" charset="0"/>
                            <a:ea typeface="+mn-ea"/>
                            <a:cs typeface="+mn-cs"/>
                          </a:rPr>
                          <m:t>)</m:t>
                        </m:r>
                      </m:sub>
                    </m:sSub>
                  </m:oMath>
                </m:oMathPara>
              </a14:m>
              <a:endParaRPr lang="es-CO" sz="1200">
                <a:solidFill>
                  <a:schemeClr val="tx1"/>
                </a:solidFill>
                <a:effectLst/>
                <a:latin typeface="+mn-lt"/>
                <a:ea typeface="+mn-ea"/>
                <a:cs typeface="+mn-cs"/>
              </a:endParaRPr>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0200-00000C000000}"/>
                </a:ext>
              </a:extLst>
            </xdr:cNvPr>
            <xdr:cNvSpPr txBox="1"/>
          </xdr:nvSpPr>
          <xdr:spPr>
            <a:xfrm>
              <a:off x="1177018" y="36943393"/>
              <a:ext cx="4102554" cy="2857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0" i="0">
                  <a:solidFill>
                    <a:schemeClr val="tx1"/>
                  </a:solidFill>
                  <a:effectLst/>
                  <a:latin typeface="Cambria Math" panose="02040503050406030204" pitchFamily="18" charset="0"/>
                  <a:ea typeface="+mn-ea"/>
                  <a:cs typeface="+mn-cs"/>
                </a:rPr>
                <a:t>INVERSA.T STUDEND.2C(100%−95 %  ;</a:t>
              </a:r>
              <a:r>
                <a:rPr lang="es-CO" sz="1400" i="0">
                  <a:solidFill>
                    <a:schemeClr val="tx1"/>
                  </a:solidFill>
                  <a:effectLst/>
                  <a:latin typeface="Cambria Math" panose="02040503050406030204" pitchFamily="18" charset="0"/>
                  <a:ea typeface="+mn-ea"/>
                  <a:cs typeface="+mn-cs"/>
                </a:rPr>
                <a:t>𝑣_(𝑒𝑓𝑓(𝐸))</a:t>
              </a:r>
              <a:endParaRPr lang="es-CO" sz="1200">
                <a:solidFill>
                  <a:schemeClr val="tx1"/>
                </a:solidFill>
                <a:effectLst/>
                <a:latin typeface="+mn-lt"/>
                <a:ea typeface="+mn-ea"/>
                <a:cs typeface="+mn-cs"/>
              </a:endParaRPr>
            </a:p>
          </xdr:txBody>
        </xdr:sp>
      </mc:Fallback>
    </mc:AlternateContent>
    <xdr:clientData/>
  </xdr:oneCellAnchor>
  <xdr:oneCellAnchor>
    <xdr:from>
      <xdr:col>2</xdr:col>
      <xdr:colOff>860096</xdr:colOff>
      <xdr:row>79</xdr:row>
      <xdr:rowOff>39832</xdr:rowOff>
    </xdr:from>
    <xdr:ext cx="2238374" cy="323850"/>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200-00000D000000}"/>
                </a:ext>
              </a:extLst>
            </xdr:cNvPr>
            <xdr:cNvSpPr txBox="1"/>
          </xdr:nvSpPr>
          <xdr:spPr>
            <a:xfrm>
              <a:off x="2955596" y="28261046"/>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oMath>
                </m:oMathPara>
              </a14:m>
              <a:endParaRPr lang="es-CO" sz="1100">
                <a:solidFill>
                  <a:schemeClr val="tx1"/>
                </a:solidFill>
                <a:effectLst/>
                <a:latin typeface="+mn-lt"/>
                <a:ea typeface="+mn-ea"/>
                <a:cs typeface="+mn-cs"/>
              </a:endParaRPr>
            </a:p>
          </xdr:txBody>
        </xdr:sp>
      </mc:Choice>
      <mc:Fallback xmlns="">
        <xdr:sp macro="" textlink="">
          <xdr:nvSpPr>
            <xdr:cNvPr id="13" name="CuadroTexto 12"/>
            <xdr:cNvSpPr txBox="1"/>
          </xdr:nvSpPr>
          <xdr:spPr>
            <a:xfrm>
              <a:off x="2955596" y="28261046"/>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𝐵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b="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758611</xdr:colOff>
      <xdr:row>83</xdr:row>
      <xdr:rowOff>85725</xdr:rowOff>
    </xdr:from>
    <xdr:ext cx="1851239" cy="23812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200-00000F000000}"/>
                </a:ext>
              </a:extLst>
            </xdr:cNvPr>
            <xdr:cNvSpPr txBox="1"/>
          </xdr:nvSpPr>
          <xdr:spPr>
            <a:xfrm>
              <a:off x="2854111" y="30241875"/>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r>
                          <a:rPr lang="es-CO" sz="1100" i="1">
                            <a:solidFill>
                              <a:sysClr val="windowText" lastClr="000000"/>
                            </a:solidFill>
                            <a:effectLst/>
                            <a:latin typeface="Cambria Math" panose="02040503050406030204" pitchFamily="18" charset="0"/>
                            <a:ea typeface="+mn-ea"/>
                            <a:cs typeface="+mn-cs"/>
                          </a:rPr>
                          <m:t>𝐼</m:t>
                        </m:r>
                      </m:e>
                    </m:d>
                    <m:r>
                      <a:rPr lang="es-CO" sz="1100" i="1">
                        <a:solidFill>
                          <a:sysClr val="windowText" lastClr="000000"/>
                        </a:solidFill>
                        <a:effectLst/>
                        <a:latin typeface="Cambria Math" panose="02040503050406030204" pitchFamily="18" charset="0"/>
                        <a:ea typeface="+mn-ea"/>
                        <a:cs typeface="+mn-cs"/>
                      </a:rPr>
                      <m:t>+ </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e>
                    </m:d>
                  </m:oMath>
                </m:oMathPara>
              </a14:m>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Choice>
      <mc:Fallback xmlns="">
        <xdr:sp macro="" textlink="">
          <xdr:nvSpPr>
            <xdr:cNvPr id="15" name="CuadroTexto 14"/>
            <xdr:cNvSpPr txBox="1"/>
          </xdr:nvSpPr>
          <xdr:spPr>
            <a:xfrm>
              <a:off x="2854111" y="30241875"/>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𝑢^2 (𝐸)=𝑢^2 (𝐼)+ 𝑢^2 (𝑚_𝑟𝑒𝑓 )</a:t>
              </a:r>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Fallback>
    </mc:AlternateContent>
    <xdr:clientData/>
  </xdr:oneCellAnchor>
  <xdr:oneCellAnchor>
    <xdr:from>
      <xdr:col>2</xdr:col>
      <xdr:colOff>693570</xdr:colOff>
      <xdr:row>96</xdr:row>
      <xdr:rowOff>407242</xdr:rowOff>
    </xdr:from>
    <xdr:ext cx="1399595" cy="670641"/>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xmlns="" id="{00000000-0008-0000-0200-000010000000}"/>
                </a:ext>
              </a:extLst>
            </xdr:cNvPr>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16" name="CuadroTexto 15"/>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xdr:col>
      <xdr:colOff>611241</xdr:colOff>
      <xdr:row>94</xdr:row>
      <xdr:rowOff>425708</xdr:rowOff>
    </xdr:from>
    <xdr:ext cx="3444551" cy="62981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200-000011000000}"/>
                </a:ext>
              </a:extLst>
            </xdr:cNvPr>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sSub>
                      <m:sSubPr>
                        <m:ctrlPr>
                          <a:rPr lang="es-CO" sz="1600" i="1">
                            <a:solidFill>
                              <a:schemeClr val="tx1"/>
                            </a:solidFill>
                            <a:effectLst/>
                            <a:latin typeface="Cambria Math" panose="02040503050406030204" pitchFamily="18" charset="0"/>
                            <a:ea typeface="+mn-ea"/>
                            <a:cs typeface="+mn-cs"/>
                          </a:rPr>
                        </m:ctrlPr>
                      </m:sSubPr>
                      <m:e>
                        <m:r>
                          <a:rPr lang="es-ES" sz="1600">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r>
                      <a:rPr lang="es-CO" sz="1600" b="0" i="1">
                        <a:solidFill>
                          <a:schemeClr val="tx1"/>
                        </a:solidFill>
                        <a:effectLst/>
                        <a:latin typeface="Cambria Math" panose="02040503050406030204" pitchFamily="18" charset="0"/>
                        <a:ea typeface="+mn-ea"/>
                        <a:cs typeface="+mn-cs"/>
                      </a:rPr>
                      <m:t>)</m:t>
                    </m:r>
                    <m:r>
                      <a:rPr lang="es-CO"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sSub>
                              <m:sSubPr>
                                <m:ctrlPr>
                                  <a:rPr lang="es-CO" sz="160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e>
                          <m:sup>
                            <m:r>
                              <a:rPr lang="es-CO" sz="1050" b="0" i="1">
                                <a:solidFill>
                                  <a:schemeClr val="tx1"/>
                                </a:solidFill>
                                <a:effectLst/>
                                <a:latin typeface="Cambria Math" panose="02040503050406030204" pitchFamily="18" charset="0"/>
                                <a:ea typeface="+mn-ea"/>
                                <a:cs typeface="+mn-cs"/>
                              </a:rPr>
                              <m:t>4</m:t>
                            </m:r>
                          </m:sup>
                        </m:sSup>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𝐶</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𝐵</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𝐷</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17" name="CuadroTexto 16"/>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600" i="0">
                  <a:solidFill>
                    <a:schemeClr val="tx1"/>
                  </a:solidFill>
                  <a:effectLst/>
                  <a:latin typeface="Cambria Math" panose="02040503050406030204" pitchFamily="18" charset="0"/>
                  <a:ea typeface="+mn-ea"/>
                  <a:cs typeface="+mn-cs"/>
                </a:rPr>
                <a:t> 〖</a:t>
              </a:r>
              <a:r>
                <a:rPr lang="es-ES" sz="160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b="0" i="0">
                  <a:solidFill>
                    <a:schemeClr val="tx1"/>
                  </a:solidFill>
                  <a:effectLst/>
                  <a:latin typeface="Cambria Math" panose="02040503050406030204" pitchFamily="18" charset="0"/>
                  <a:ea typeface="+mn-ea"/>
                  <a:cs typeface="+mn-cs"/>
                </a:rPr>
                <a:t>〗^4/(〖(〖</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𝑚〗_𝐶</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𝑚〗_𝐵</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r>
                <a:rPr lang="es-CO" sz="1050" b="0" i="0">
                  <a:solidFill>
                    <a:schemeClr val="tx1"/>
                  </a:solidFill>
                  <a:effectLst/>
                  <a:latin typeface="Cambria Math" panose="02040503050406030204" pitchFamily="18" charset="0"/>
                  <a:ea typeface="+mn-ea"/>
                  <a:cs typeface="+mn-cs"/>
                </a:rPr>
                <a:t>)+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𝑚〗_𝐷</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r>
                <a:rPr lang="es-CO" sz="105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952889</xdr:colOff>
      <xdr:row>90</xdr:row>
      <xdr:rowOff>57150</xdr:rowOff>
    </xdr:from>
    <xdr:ext cx="2819400" cy="552450"/>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200-000012000000}"/>
                </a:ext>
              </a:extLst>
            </xdr:cNvPr>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18" name="CuadroTexto 17"/>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〗^4/(𝑛 −1)+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r>
                <a:rPr lang="es-CO" sz="1050" b="0" i="0">
                  <a:solidFill>
                    <a:schemeClr val="tx1"/>
                  </a:solidFill>
                  <a:effectLst/>
                  <a:latin typeface="Cambria Math" panose="02040503050406030204" pitchFamily="18" charset="0"/>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9</xdr:col>
      <xdr:colOff>750093</xdr:colOff>
      <xdr:row>107</xdr:row>
      <xdr:rowOff>142875</xdr:rowOff>
    </xdr:from>
    <xdr:ext cx="2309813" cy="250031"/>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200-000014000000}"/>
                </a:ext>
              </a:extLst>
            </xdr:cNvPr>
            <xdr:cNvSpPr txBox="1"/>
          </xdr:nvSpPr>
          <xdr:spPr>
            <a:xfrm>
              <a:off x="11060906" y="45862875"/>
              <a:ext cx="2309813" cy="250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panose="02040503050406030204" pitchFamily="18" charset="0"/>
                          </a:rPr>
                        </m:ctrlPr>
                      </m:radPr>
                      <m:deg/>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rad>
                  </m:oMath>
                </m:oMathPara>
              </a14:m>
              <a:endParaRPr lang="es-CO" sz="1050"/>
            </a:p>
          </xdr:txBody>
        </xdr:sp>
      </mc:Choice>
      <mc:Fallback xmlns="">
        <xdr:sp macro="" textlink="">
          <xdr:nvSpPr>
            <xdr:cNvPr id="20" name="CuadroTexto 19">
              <a:extLst>
                <a:ext uri="{FF2B5EF4-FFF2-40B4-BE49-F238E27FC236}">
                  <a16:creationId xmlns:a16="http://schemas.microsoft.com/office/drawing/2014/main" id="{00000000-0008-0000-0200-000014000000}"/>
                </a:ext>
              </a:extLst>
            </xdr:cNvPr>
            <xdr:cNvSpPr txBox="1"/>
          </xdr:nvSpPr>
          <xdr:spPr>
            <a:xfrm>
              <a:off x="11060906" y="45862875"/>
              <a:ext cx="2309813" cy="250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b="0" i="0">
                  <a:solidFill>
                    <a:schemeClr val="tx1"/>
                  </a:solidFill>
                  <a:effectLst/>
                  <a:latin typeface="Cambria Math" panose="02040503050406030204" pitchFamily="18" charset="0"/>
                  <a:ea typeface="+mn-ea"/>
                  <a:cs typeface="+mn-cs"/>
                </a:rPr>
                <a:t>𝑢^2 (𝑅(𝑑 𝑦 𝑠)</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4</xdr:col>
      <xdr:colOff>266485</xdr:colOff>
      <xdr:row>106</xdr:row>
      <xdr:rowOff>396585</xdr:rowOff>
    </xdr:from>
    <xdr:ext cx="864609" cy="348044"/>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xmlns="" id="{00000000-0008-0000-02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panose="02040503050406030204" pitchFamily="18" charset="0"/>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21" name="CuadroTexto 20">
              <a:extLst>
                <a:ext uri="{FF2B5EF4-FFF2-40B4-BE49-F238E27FC236}">
                  <a16:creationId xmlns="" xmlns:a16="http://schemas.microsoft.com/office/drawing/2014/main" xmlns:a14="http://schemas.microsoft.com/office/drawing/2010/main" id="{00000000-0008-0000-02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8</xdr:col>
      <xdr:colOff>365413</xdr:colOff>
      <xdr:row>53</xdr:row>
      <xdr:rowOff>127288</xdr:rowOff>
    </xdr:from>
    <xdr:ext cx="209609" cy="175113"/>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200-000017000000}"/>
                </a:ext>
              </a:extLst>
            </xdr:cNvPr>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10</xdr:col>
      <xdr:colOff>536863</xdr:colOff>
      <xdr:row>53</xdr:row>
      <xdr:rowOff>112567</xdr:rowOff>
    </xdr:from>
    <xdr:ext cx="156261" cy="17511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200-000018000000}"/>
                </a:ext>
              </a:extLst>
            </xdr:cNvPr>
            <xdr:cNvSpPr txBox="1"/>
          </xdr:nvSpPr>
          <xdr:spPr>
            <a:xfrm>
              <a:off x="5851813" y="20200792"/>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4" name="CuadroTexto 23"/>
            <xdr:cNvSpPr txBox="1"/>
          </xdr:nvSpPr>
          <xdr:spPr>
            <a:xfrm>
              <a:off x="5851813" y="20200792"/>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11</xdr:col>
      <xdr:colOff>502227</xdr:colOff>
      <xdr:row>53</xdr:row>
      <xdr:rowOff>103908</xdr:rowOff>
    </xdr:from>
    <xdr:ext cx="327847"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0200-000019000000}"/>
                </a:ext>
              </a:extLst>
            </xdr:cNvPr>
            <xdr:cNvSpPr txBox="1"/>
          </xdr:nvSpPr>
          <xdr:spPr>
            <a:xfrm>
              <a:off x="6703002" y="20192133"/>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25" name="CuadroTexto 24"/>
            <xdr:cNvSpPr txBox="1"/>
          </xdr:nvSpPr>
          <xdr:spPr>
            <a:xfrm>
              <a:off x="6703002" y="20192133"/>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6</xdr:col>
      <xdr:colOff>254045</xdr:colOff>
      <xdr:row>107</xdr:row>
      <xdr:rowOff>96582</xdr:rowOff>
    </xdr:from>
    <xdr:ext cx="441852" cy="18415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panose="02040503050406030204" pitchFamily="18" charset="0"/>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1</xdr:col>
      <xdr:colOff>162078</xdr:colOff>
      <xdr:row>115</xdr:row>
      <xdr:rowOff>169069</xdr:rowOff>
    </xdr:from>
    <xdr:ext cx="789584" cy="143430"/>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200-00001B000000}"/>
                </a:ext>
              </a:extLst>
            </xdr:cNvPr>
            <xdr:cNvSpPr txBox="1"/>
          </xdr:nvSpPr>
          <xdr:spPr>
            <a:xfrm>
              <a:off x="1281266" y="49353788"/>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panose="02040503050406030204" pitchFamily="18" charset="0"/>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0200-00001B000000}"/>
                </a:ext>
              </a:extLst>
            </xdr:cNvPr>
            <xdr:cNvSpPr txBox="1"/>
          </xdr:nvSpPr>
          <xdr:spPr>
            <a:xfrm>
              <a:off x="1281266" y="49353788"/>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Cambria Math" panose="02040503050406030204" pitchFamily="18" charset="0"/>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Cambria Math" panose="02040503050406030204" pitchFamily="18" charset="0"/>
                  <a:ea typeface="+mn-ea"/>
                  <a:cs typeface="+mn-cs"/>
                </a:rPr>
                <a:t>𝛴〖</a:t>
              </a:r>
              <a:r>
                <a:rPr lang="es-CO" sz="1100" b="0" i="0">
                  <a:solidFill>
                    <a:schemeClr val="bg1"/>
                  </a:solidFill>
                  <a:effectLst/>
                  <a:latin typeface="Cambria Math" panose="02040503050406030204" pitchFamily="18" charset="0"/>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1</xdr:col>
      <xdr:colOff>624477</xdr:colOff>
      <xdr:row>117</xdr:row>
      <xdr:rowOff>129886</xdr:rowOff>
    </xdr:from>
    <xdr:ext cx="441614" cy="17966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2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02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1</xdr:col>
      <xdr:colOff>219725</xdr:colOff>
      <xdr:row>120</xdr:row>
      <xdr:rowOff>73602</xdr:rowOff>
    </xdr:from>
    <xdr:ext cx="808875" cy="184794"/>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2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tx1"/>
                            </a:solidFill>
                            <a:latin typeface="Cambria Math" panose="02040503050406030204" pitchFamily="18" charset="0"/>
                          </a:rPr>
                        </m:ctrlPr>
                      </m:sSupPr>
                      <m:e>
                        <m:r>
                          <m:rPr>
                            <m:nor/>
                          </m:rPr>
                          <a:rPr lang="es-CO" sz="1100" b="0" i="1">
                            <a:solidFill>
                              <a:schemeClr val="tx1"/>
                            </a:solidFill>
                            <a:latin typeface="Cambria Math" panose="02040503050406030204" pitchFamily="18" charset="0"/>
                          </a:rPr>
                          <m:t>s</m:t>
                        </m:r>
                        <m:r>
                          <m:rPr>
                            <m:nor/>
                          </m:rPr>
                          <a:rPr lang="es-CO" sz="1100" b="0" i="1">
                            <a:solidFill>
                              <a:schemeClr val="tx1"/>
                            </a:solidFill>
                            <a:latin typeface="Cambria Math" panose="02040503050406030204" pitchFamily="18" charset="0"/>
                          </a:rPr>
                          <m:t>  </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m</m:t>
                        </m:r>
                        <m:r>
                          <a:rPr lang="es-CO" sz="1100" b="0" i="1" baseline="0">
                            <a:solidFill>
                              <a:schemeClr val="tx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tx1"/>
                            </a:solidFill>
                            <a:effectLst/>
                            <a:latin typeface="Times New Roman" panose="02020603050405020304" pitchFamily="18" charset="0"/>
                            <a:ea typeface="+mn-ea"/>
                            <a:cs typeface="Times New Roman" panose="02020603050405020304" pitchFamily="18" charset="0"/>
                          </a:rPr>
                          <m:t>  </m:t>
                        </m:r>
                        <m:r>
                          <m:rPr>
                            <m:nor/>
                          </m:rPr>
                          <a:rPr lang="es-CO" b="0" i="1">
                            <a:solidFill>
                              <a:schemeClr val="tx1"/>
                            </a:solidFill>
                            <a:effectLst/>
                            <a:latin typeface="Times New Roman" panose="02020603050405020304" pitchFamily="18" charset="0"/>
                            <a:cs typeface="Times New Roman" panose="02020603050405020304" pitchFamily="18" charset="0"/>
                          </a:rPr>
                          <m:t> </m:t>
                        </m:r>
                      </m:e>
                      <m:sup>
                        <m:r>
                          <a:rPr lang="es-CO" sz="1100" b="0" i="1">
                            <a:solidFill>
                              <a:schemeClr val="tx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29" name="CuadroTexto 28">
              <a:extLst>
                <a:ext uri="{FF2B5EF4-FFF2-40B4-BE49-F238E27FC236}">
                  <a16:creationId xmlns="" xmlns:a16="http://schemas.microsoft.com/office/drawing/2014/main" xmlns:a14="http://schemas.microsoft.com/office/drawing/2010/main" id="{00000000-0008-0000-02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tx1"/>
                  </a:solidFill>
                  <a:latin typeface="Cambria Math" panose="02040503050406030204" pitchFamily="18" charset="0"/>
                </a:rPr>
                <a:t>〖"s  </a:t>
              </a:r>
              <a:r>
                <a:rPr lang="es-CO" sz="1100" b="0" i="0" baseline="0">
                  <a:solidFill>
                    <a:schemeClr val="tx1"/>
                  </a:solidFill>
                  <a:effectLst/>
                  <a:latin typeface="Cambria Math" panose="02040503050406030204" pitchFamily="18" charset="0"/>
                  <a:ea typeface="+mn-ea"/>
                </a:rPr>
                <a:t>" </a:t>
              </a:r>
              <a:r>
                <a:rPr lang="es-CO" sz="1100" b="0" i="0" baseline="0">
                  <a:solidFill>
                    <a:schemeClr val="tx1"/>
                  </a:solidFill>
                  <a:effectLst/>
                  <a:latin typeface="Cambria Math" panose="02040503050406030204" pitchFamily="18" charset="0"/>
                  <a:ea typeface="+mn-ea"/>
                  <a:cs typeface="Times New Roman" panose="02020603050405020304" pitchFamily="18" charset="0"/>
                </a:rPr>
                <a:t>máxima"</a:t>
              </a:r>
              <a:r>
                <a:rPr lang="es-CO" sz="1100" b="0" i="0" baseline="0">
                  <a:solidFill>
                    <a:schemeClr val="tx1"/>
                  </a:solidFill>
                  <a:effectLst/>
                  <a:latin typeface="Times New Roman" panose="02020603050405020304" pitchFamily="18" charset="0"/>
                  <a:ea typeface="+mn-ea"/>
                  <a:cs typeface="Times New Roman" panose="02020603050405020304" pitchFamily="18" charset="0"/>
                </a:rPr>
                <a:t>  </a:t>
              </a:r>
              <a:r>
                <a:rPr lang="es-CO" b="0" i="0">
                  <a:solidFill>
                    <a:schemeClr val="tx1"/>
                  </a:solidFill>
                  <a:effectLst/>
                  <a:latin typeface="Times New Roman" panose="02020603050405020304" pitchFamily="18" charset="0"/>
                  <a:cs typeface="Times New Roman" panose="02020603050405020304" pitchFamily="18" charset="0"/>
                </a:rPr>
                <a:t> </a:t>
              </a:r>
              <a:r>
                <a:rPr lang="es-CO" b="0" i="0">
                  <a:solidFill>
                    <a:schemeClr val="tx1"/>
                  </a:solidFill>
                  <a:effectLst/>
                  <a:latin typeface="Cambria Math" panose="02040503050406030204" pitchFamily="18" charset="0"/>
                  <a:cs typeface="Times New Roman" panose="02020603050405020304" pitchFamily="18" charset="0"/>
                </a:rPr>
                <a:t>" </a:t>
              </a:r>
              <a:r>
                <a:rPr lang="es-CO" sz="1100" b="0" i="0">
                  <a:solidFill>
                    <a:schemeClr val="tx1"/>
                  </a:solidFill>
                  <a:effectLst/>
                  <a:latin typeface="Cambria Math" panose="02040503050406030204" pitchFamily="18" charset="0"/>
                  <a:cs typeface="Times New Roman" panose="02020603050405020304" pitchFamily="18" charset="0"/>
                </a:rPr>
                <a:t>〗^</a:t>
              </a:r>
              <a:r>
                <a:rPr lang="es-CO" sz="1100" b="0" i="0">
                  <a:solidFill>
                    <a:schemeClr val="tx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119816</xdr:colOff>
      <xdr:row>134</xdr:row>
      <xdr:rowOff>172452</xdr:rowOff>
    </xdr:from>
    <xdr:ext cx="695324" cy="190500"/>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panose="02040503050406030204" pitchFamily="18" charset="0"/>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9</xdr:col>
      <xdr:colOff>359019</xdr:colOff>
      <xdr:row>53</xdr:row>
      <xdr:rowOff>140678</xdr:rowOff>
    </xdr:from>
    <xdr:ext cx="358487" cy="175113"/>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200-000024000000}"/>
                </a:ext>
              </a:extLst>
            </xdr:cNvPr>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554005</xdr:colOff>
      <xdr:row>87</xdr:row>
      <xdr:rowOff>82614</xdr:rowOff>
    </xdr:from>
    <xdr:ext cx="595611" cy="185628"/>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200-000025000000}"/>
                </a:ext>
              </a:extLst>
            </xdr:cNvPr>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7" name="CuadroTexto 36"/>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oneCellAnchor>
    <xdr:from>
      <xdr:col>3</xdr:col>
      <xdr:colOff>564114</xdr:colOff>
      <xdr:row>89</xdr:row>
      <xdr:rowOff>116827</xdr:rowOff>
    </xdr:from>
    <xdr:ext cx="611065" cy="185628"/>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a16="http://schemas.microsoft.com/office/drawing/2014/main" xmlns="" id="{00000000-0008-0000-0200-000026000000}"/>
                </a:ext>
              </a:extLst>
            </xdr:cNvPr>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8" name="CuadroTexto 37"/>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endParaRPr lang="es-CO" sz="1100"/>
            </a:p>
          </xdr:txBody>
        </xdr:sp>
      </mc:Fallback>
    </mc:AlternateContent>
    <xdr:clientData/>
  </xdr:oneCellAnchor>
  <xdr:oneCellAnchor>
    <xdr:from>
      <xdr:col>3</xdr:col>
      <xdr:colOff>795049</xdr:colOff>
      <xdr:row>92</xdr:row>
      <xdr:rowOff>97194</xdr:rowOff>
    </xdr:from>
    <xdr:ext cx="591764" cy="18312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02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400"/>
            </a:p>
          </xdr:txBody>
        </xdr:sp>
      </mc:Choice>
      <mc:Fallback xmlns="">
        <xdr:sp macro="" textlink="">
          <xdr:nvSpPr>
            <xdr:cNvPr id="39" name="CuadroTexto 38"/>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endParaRPr lang="es-CO" sz="1400"/>
            </a:p>
          </xdr:txBody>
        </xdr:sp>
      </mc:Fallback>
    </mc:AlternateContent>
    <xdr:clientData/>
  </xdr:oneCellAnchor>
  <xdr:oneCellAnchor>
    <xdr:from>
      <xdr:col>3</xdr:col>
      <xdr:colOff>814484</xdr:colOff>
      <xdr:row>93</xdr:row>
      <xdr:rowOff>116632</xdr:rowOff>
    </xdr:from>
    <xdr:ext cx="592533" cy="185628"/>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02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0" name="CuadroTexto 39"/>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endParaRPr lang="es-CO">
                <a:effectLst/>
              </a:endParaRPr>
            </a:p>
          </xdr:txBody>
        </xdr:sp>
      </mc:Fallback>
    </mc:AlternateContent>
    <xdr:clientData/>
  </xdr:oneCellAnchor>
  <xdr:oneCellAnchor>
    <xdr:from>
      <xdr:col>3</xdr:col>
      <xdr:colOff>781433</xdr:colOff>
      <xdr:row>94</xdr:row>
      <xdr:rowOff>116632</xdr:rowOff>
    </xdr:from>
    <xdr:ext cx="596189" cy="185628"/>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02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1" name="CuadroTexto 40"/>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endParaRPr lang="es-CO">
                <a:effectLst/>
              </a:endParaRPr>
            </a:p>
          </xdr:txBody>
        </xdr:sp>
      </mc:Fallback>
    </mc:AlternateContent>
    <xdr:clientData/>
  </xdr:oneCellAnchor>
  <xdr:oneCellAnchor>
    <xdr:from>
      <xdr:col>3</xdr:col>
      <xdr:colOff>523875</xdr:colOff>
      <xdr:row>88</xdr:row>
      <xdr:rowOff>95250</xdr:rowOff>
    </xdr:from>
    <xdr:ext cx="1267335" cy="18312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0200-00002A000000}"/>
                </a:ext>
              </a:extLst>
            </xdr:cNvPr>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42" name="CuadroTexto 41"/>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(𝑟𝑒𝑝)=𝑛 −1   </a:t>
              </a:r>
              <a:endParaRPr lang="es-CO" sz="1100"/>
            </a:p>
          </xdr:txBody>
        </xdr:sp>
      </mc:Fallback>
    </mc:AlternateContent>
    <xdr:clientData/>
  </xdr:oneCellAnchor>
  <xdr:twoCellAnchor>
    <xdr:from>
      <xdr:col>0</xdr:col>
      <xdr:colOff>1107282</xdr:colOff>
      <xdr:row>125</xdr:row>
      <xdr:rowOff>114861</xdr:rowOff>
    </xdr:from>
    <xdr:to>
      <xdr:col>10</xdr:col>
      <xdr:colOff>214312</xdr:colOff>
      <xdr:row>133</xdr:row>
      <xdr:rowOff>440531</xdr:rowOff>
    </xdr:to>
    <xdr:graphicFrame macro="">
      <xdr:nvGraphicFramePr>
        <xdr:cNvPr id="43" name="Gráfico 42">
          <a:extLst>
            <a:ext uri="{FF2B5EF4-FFF2-40B4-BE49-F238E27FC236}">
              <a16:creationId xmlns:a16="http://schemas.microsoft.com/office/drawing/2014/main" xmlns=""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871425</xdr:colOff>
      <xdr:row>32</xdr:row>
      <xdr:rowOff>404120</xdr:rowOff>
    </xdr:from>
    <xdr:to>
      <xdr:col>10</xdr:col>
      <xdr:colOff>583406</xdr:colOff>
      <xdr:row>37</xdr:row>
      <xdr:rowOff>348682</xdr:rowOff>
    </xdr:to>
    <xdr:pic>
      <xdr:nvPicPr>
        <xdr:cNvPr id="44" name="Imagen 43">
          <a:extLst>
            <a:ext uri="{FF2B5EF4-FFF2-40B4-BE49-F238E27FC236}">
              <a16:creationId xmlns:a16="http://schemas.microsoft.com/office/drawing/2014/main" xmlns="" id="{00000000-0008-0000-0200-00002C000000}"/>
            </a:ext>
          </a:extLst>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r="32709"/>
        <a:stretch/>
      </xdr:blipFill>
      <xdr:spPr bwMode="auto">
        <a:xfrm>
          <a:off x="8943863" y="14298714"/>
          <a:ext cx="3069543" cy="2147218"/>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304800</xdr:colOff>
      <xdr:row>58</xdr:row>
      <xdr:rowOff>95983</xdr:rowOff>
    </xdr:from>
    <xdr:ext cx="65" cy="172227"/>
    <xdr:sp macro="" textlink="">
      <xdr:nvSpPr>
        <xdr:cNvPr id="51" name="CuadroTexto 50">
          <a:extLst>
            <a:ext uri="{FF2B5EF4-FFF2-40B4-BE49-F238E27FC236}">
              <a16:creationId xmlns:a16="http://schemas.microsoft.com/office/drawing/2014/main" xmlns="" id="{00000000-0008-0000-0200-000033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58</xdr:row>
      <xdr:rowOff>95983</xdr:rowOff>
    </xdr:from>
    <xdr:ext cx="65" cy="172227"/>
    <xdr:sp macro="" textlink="">
      <xdr:nvSpPr>
        <xdr:cNvPr id="52" name="CuadroTexto 51">
          <a:extLst>
            <a:ext uri="{FF2B5EF4-FFF2-40B4-BE49-F238E27FC236}">
              <a16:creationId xmlns:a16="http://schemas.microsoft.com/office/drawing/2014/main" xmlns="" id="{00000000-0008-0000-0200-000034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462643</xdr:colOff>
      <xdr:row>53</xdr:row>
      <xdr:rowOff>136073</xdr:rowOff>
    </xdr:from>
    <xdr:ext cx="381000" cy="163285"/>
    <mc:AlternateContent xmlns:mc="http://schemas.openxmlformats.org/markup-compatibility/2006" xmlns:a14="http://schemas.microsoft.com/office/drawing/2010/main">
      <mc:Choice Requires="a14">
        <xdr:sp macro="" textlink="">
          <xdr:nvSpPr>
            <xdr:cNvPr id="53" name="CuadroTexto 52">
              <a:extLst>
                <a:ext uri="{FF2B5EF4-FFF2-40B4-BE49-F238E27FC236}">
                  <a16:creationId xmlns:a16="http://schemas.microsoft.com/office/drawing/2014/main" xmlns="" id="{00000000-0008-0000-0200-000035000000}"/>
                </a:ext>
              </a:extLst>
            </xdr:cNvPr>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baseline="0">
                      <a:latin typeface="Cambria Math" panose="02040503050406030204" pitchFamily="18" charset="0"/>
                    </a:rPr>
                    <m:t> </m:t>
                  </m:r>
                  <m:r>
                    <a:rPr lang="es-CO" sz="1100" b="0" i="1">
                      <a:latin typeface="Cambria Math" panose="02040503050406030204" pitchFamily="18" charset="0"/>
                    </a:rPr>
                    <m:t>𝑔</m:t>
                  </m:r>
                </m:oMath>
              </a14:m>
              <a:endParaRPr lang="es-CO" sz="1100"/>
            </a:p>
          </xdr:txBody>
        </xdr:sp>
      </mc:Choice>
      <mc:Fallback xmlns="">
        <xdr:sp macro="" textlink="">
          <xdr:nvSpPr>
            <xdr:cNvPr id="53" name="CuadroTexto 52"/>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 </a:t>
              </a:r>
              <a:r>
                <a:rPr lang="es-CO" sz="1100" b="0" i="0">
                  <a:latin typeface="Cambria Math" panose="02040503050406030204" pitchFamily="18" charset="0"/>
                </a:rPr>
                <a:t>𝑔</a:t>
              </a:r>
              <a:endParaRPr lang="es-CO" sz="1100"/>
            </a:p>
          </xdr:txBody>
        </xdr:sp>
      </mc:Fallback>
    </mc:AlternateContent>
    <xdr:clientData/>
  </xdr:oneCellAnchor>
  <xdr:oneCellAnchor>
    <xdr:from>
      <xdr:col>4</xdr:col>
      <xdr:colOff>462642</xdr:colOff>
      <xdr:row>53</xdr:row>
      <xdr:rowOff>122464</xdr:rowOff>
    </xdr:from>
    <xdr:ext cx="381000" cy="163285"/>
    <mc:AlternateContent xmlns:mc="http://schemas.openxmlformats.org/markup-compatibility/2006" xmlns:a14="http://schemas.microsoft.com/office/drawing/2010/main">
      <mc:Choice Requires="a14">
        <xdr:sp macro="" textlink="">
          <xdr:nvSpPr>
            <xdr:cNvPr id="58" name="CuadroTexto 57">
              <a:extLst>
                <a:ext uri="{FF2B5EF4-FFF2-40B4-BE49-F238E27FC236}">
                  <a16:creationId xmlns:a16="http://schemas.microsoft.com/office/drawing/2014/main" xmlns="" id="{00000000-0008-0000-0200-00003A000000}"/>
                </a:ext>
              </a:extLst>
            </xdr:cNvPr>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a:latin typeface="Cambria Math" panose="02040503050406030204" pitchFamily="18" charset="0"/>
                    </a:rPr>
                    <m:t>𝑚𝑔</m:t>
                  </m:r>
                </m:oMath>
              </a14:m>
              <a:endParaRPr lang="es-CO" sz="1100"/>
            </a:p>
          </xdr:txBody>
        </xdr:sp>
      </mc:Choice>
      <mc:Fallback xmlns="">
        <xdr:sp macro="" textlink="">
          <xdr:nvSpPr>
            <xdr:cNvPr id="58" name="CuadroTexto 57"/>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a:t>
              </a:r>
              <a:r>
                <a:rPr lang="es-CO" sz="1100" b="0" i="0">
                  <a:latin typeface="Cambria Math" panose="02040503050406030204" pitchFamily="18" charset="0"/>
                </a:rPr>
                <a:t>𝑚𝑔</a:t>
              </a:r>
              <a:endParaRPr lang="es-CO" sz="1100"/>
            </a:p>
          </xdr:txBody>
        </xdr:sp>
      </mc:Fallback>
    </mc:AlternateContent>
    <xdr:clientData/>
  </xdr:oneCellAnchor>
  <xdr:twoCellAnchor>
    <xdr:from>
      <xdr:col>0</xdr:col>
      <xdr:colOff>133350</xdr:colOff>
      <xdr:row>0</xdr:row>
      <xdr:rowOff>171450</xdr:rowOff>
    </xdr:from>
    <xdr:to>
      <xdr:col>1</xdr:col>
      <xdr:colOff>1009650</xdr:colOff>
      <xdr:row>2</xdr:row>
      <xdr:rowOff>272895</xdr:rowOff>
    </xdr:to>
    <xdr:pic>
      <xdr:nvPicPr>
        <xdr:cNvPr id="50" name="Picture 1" descr="\\Abeltran\publico\Logo completo.gif">
          <a:extLst>
            <a:ext uri="{FF2B5EF4-FFF2-40B4-BE49-F238E27FC236}">
              <a16:creationId xmlns:a16="http://schemas.microsoft.com/office/drawing/2014/main" xmlns="" id="{00000000-0008-0000-0200-000032000000}"/>
            </a:ext>
          </a:extLst>
        </xdr:cNvPr>
        <xdr:cNvPicPr>
          <a:picLocks noChangeAspect="1" noChangeArrowheads="1"/>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133350" y="171450"/>
          <a:ext cx="1990725" cy="977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15</xdr:col>
      <xdr:colOff>628650</xdr:colOff>
      <xdr:row>85</xdr:row>
      <xdr:rowOff>0</xdr:rowOff>
    </xdr:from>
    <xdr:ext cx="65" cy="172227"/>
    <xdr:sp macro="" textlink="">
      <xdr:nvSpPr>
        <xdr:cNvPr id="55" name="CuadroTexto 54">
          <a:extLst>
            <a:ext uri="{FF2B5EF4-FFF2-40B4-BE49-F238E27FC236}">
              <a16:creationId xmlns:a16="http://schemas.microsoft.com/office/drawing/2014/main" xmlns="" id="{00000000-0008-0000-0200-00001E000000}"/>
            </a:ext>
          </a:extLst>
        </xdr:cNvPr>
        <xdr:cNvSpPr txBox="1"/>
      </xdr:nvSpPr>
      <xdr:spPr>
        <a:xfrm>
          <a:off x="15840075" y="4829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334242</xdr:colOff>
      <xdr:row>74</xdr:row>
      <xdr:rowOff>37234</xdr:rowOff>
    </xdr:from>
    <xdr:ext cx="1962150" cy="361949"/>
    <mc:AlternateContent xmlns:mc="http://schemas.openxmlformats.org/markup-compatibility/2006" xmlns:a14="http://schemas.microsoft.com/office/drawing/2010/main">
      <mc:Choice Requires="a14">
        <xdr:sp macro="" textlink="">
          <xdr:nvSpPr>
            <xdr:cNvPr id="56" name="CuadroTexto 55">
              <a:extLst>
                <a:ext uri="{FF2B5EF4-FFF2-40B4-BE49-F238E27FC236}">
                  <a16:creationId xmlns:a16="http://schemas.microsoft.com/office/drawing/2014/main" xmlns="" id="{00000000-0008-0000-0200-000008000000}"/>
                </a:ext>
              </a:extLst>
            </xdr:cNvPr>
            <xdr:cNvSpPr txBox="1"/>
          </xdr:nvSpPr>
          <xdr:spPr>
            <a:xfrm>
              <a:off x="2572617" y="31553078"/>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56" name="CuadroTexto 55">
              <a:extLst>
                <a:ext uri="{FF2B5EF4-FFF2-40B4-BE49-F238E27FC236}">
                  <a16:creationId xmlns="" xmlns:a16="http://schemas.microsoft.com/office/drawing/2014/main" xmlns:a14="http://schemas.microsoft.com/office/drawing/2010/main" id="{00000000-0008-0000-0200-000008000000}"/>
                </a:ext>
              </a:extLst>
            </xdr:cNvPr>
            <xdr:cNvSpPr txBox="1"/>
          </xdr:nvSpPr>
          <xdr:spPr>
            <a:xfrm>
              <a:off x="2572617" y="31553078"/>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13</xdr:col>
      <xdr:colOff>35719</xdr:colOff>
      <xdr:row>89</xdr:row>
      <xdr:rowOff>47625</xdr:rowOff>
    </xdr:from>
    <xdr:ext cx="2024062" cy="369094"/>
    <mc:AlternateContent xmlns:mc="http://schemas.openxmlformats.org/markup-compatibility/2006" xmlns:a14="http://schemas.microsoft.com/office/drawing/2010/main">
      <mc:Choice Requires="a14">
        <xdr:sp macro="" textlink="">
          <xdr:nvSpPr>
            <xdr:cNvPr id="57" name="CuadroTexto 56">
              <a:extLst>
                <a:ext uri="{FF2B5EF4-FFF2-40B4-BE49-F238E27FC236}">
                  <a16:creationId xmlns:a16="http://schemas.microsoft.com/office/drawing/2014/main" xmlns="" id="{00000000-0008-0000-0200-000013000000}"/>
                </a:ext>
              </a:extLst>
            </xdr:cNvPr>
            <xdr:cNvSpPr txBox="1"/>
          </xdr:nvSpPr>
          <xdr:spPr>
            <a:xfrm>
              <a:off x="14751844" y="37528500"/>
              <a:ext cx="2024062" cy="369094"/>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200" b="1" i="1">
                      <a:solidFill>
                        <a:schemeClr val="tx1"/>
                      </a:solidFill>
                      <a:effectLst/>
                      <a:latin typeface="Cambria Math" panose="02040503050406030204" pitchFamily="18" charset="0"/>
                      <a:ea typeface="+mn-ea"/>
                      <a:cs typeface="+mn-cs"/>
                    </a:rPr>
                    <m:t>𝑼</m:t>
                  </m:r>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𝑬</m:t>
                  </m:r>
                  <m:r>
                    <a:rPr lang="es-CO" sz="1200" b="1" i="1">
                      <a:solidFill>
                        <a:schemeClr val="tx1"/>
                      </a:solidFill>
                      <a:effectLst/>
                      <a:latin typeface="Cambria Math" panose="02040503050406030204" pitchFamily="18" charset="0"/>
                      <a:ea typeface="+mn-ea"/>
                      <a:cs typeface="+mn-cs"/>
                    </a:rPr>
                    <m:t>)</m:t>
                  </m:r>
                </m:oMath>
              </a14:m>
              <a:r>
                <a:rPr lang="es-CO" sz="1200" b="1" i="1">
                  <a:solidFill>
                    <a:schemeClr val="tx1"/>
                  </a:solidFill>
                  <a:effectLst/>
                  <a:latin typeface="Arial" panose="020B0604020202020204" pitchFamily="34" charset="0"/>
                  <a:ea typeface="+mn-ea"/>
                  <a:cs typeface="Arial" panose="020B0604020202020204" pitchFamily="34" charset="0"/>
                </a:rPr>
                <a:t> </a:t>
              </a:r>
              <a14:m>
                <m:oMath xmlns:m="http://schemas.openxmlformats.org/officeDocument/2006/math">
                  <m:r>
                    <a:rPr lang="es-ES" sz="1200" b="1" i="1">
                      <a:solidFill>
                        <a:schemeClr val="tx1"/>
                      </a:solidFill>
                      <a:effectLst/>
                      <a:latin typeface="Cambria Math" panose="02040503050406030204" pitchFamily="18" charset="0"/>
                      <a:ea typeface="+mn-ea"/>
                      <a:cs typeface="+mn-cs"/>
                    </a:rPr>
                    <m:t>= </m:t>
                  </m:r>
                  <m:r>
                    <a:rPr lang="es-ES" sz="1200" b="1" i="1">
                      <a:solidFill>
                        <a:schemeClr val="tx1"/>
                      </a:solidFill>
                      <a:effectLst/>
                      <a:latin typeface="Cambria Math" panose="02040503050406030204" pitchFamily="18" charset="0"/>
                      <a:ea typeface="+mn-ea"/>
                      <a:cs typeface="+mn-cs"/>
                    </a:rPr>
                    <m:t>𝒖</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𝑬</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𝒌</m:t>
                  </m:r>
                </m:oMath>
              </a14:m>
              <a:endParaRPr lang="es-CO" sz="1200" b="1" i="1">
                <a:solidFill>
                  <a:schemeClr val="tx1"/>
                </a:solidFill>
                <a:effectLst/>
                <a:latin typeface="Arial" panose="020B0604020202020204" pitchFamily="34" charset="0"/>
                <a:ea typeface="+mn-ea"/>
                <a:cs typeface="Arial" panose="020B0604020202020204" pitchFamily="34" charset="0"/>
              </a:endParaRPr>
            </a:p>
          </xdr:txBody>
        </xdr:sp>
      </mc:Choice>
      <mc:Fallback xmlns="">
        <xdr:sp macro="" textlink="">
          <xdr:nvSpPr>
            <xdr:cNvPr id="57" name="CuadroTexto 56">
              <a:extLst>
                <a:ext uri="{FF2B5EF4-FFF2-40B4-BE49-F238E27FC236}">
                  <a16:creationId xmlns="" xmlns:a16="http://schemas.microsoft.com/office/drawing/2014/main" xmlns:a14="http://schemas.microsoft.com/office/drawing/2010/main" id="{00000000-0008-0000-0200-000013000000}"/>
                </a:ext>
              </a:extLst>
            </xdr:cNvPr>
            <xdr:cNvSpPr txBox="1"/>
          </xdr:nvSpPr>
          <xdr:spPr>
            <a:xfrm>
              <a:off x="14751844" y="37528500"/>
              <a:ext cx="2024062" cy="369094"/>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200" b="1" i="0">
                  <a:solidFill>
                    <a:schemeClr val="tx1"/>
                  </a:solidFill>
                  <a:effectLst/>
                  <a:latin typeface="Cambria Math" panose="02040503050406030204" pitchFamily="18" charset="0"/>
                  <a:ea typeface="+mn-ea"/>
                  <a:cs typeface="+mn-cs"/>
                </a:rPr>
                <a:t>𝑼</a:t>
              </a:r>
              <a:r>
                <a:rPr lang="es-CO" sz="1200" b="1" i="0">
                  <a:solidFill>
                    <a:schemeClr val="tx1"/>
                  </a:solidFill>
                  <a:effectLst/>
                  <a:latin typeface="Cambria Math" panose="02040503050406030204" pitchFamily="18" charset="0"/>
                  <a:ea typeface="+mn-ea"/>
                  <a:cs typeface="+mn-cs"/>
                </a:rPr>
                <a:t>(𝑬)</a:t>
              </a:r>
              <a:r>
                <a:rPr lang="es-CO" sz="1200" b="1" i="1">
                  <a:solidFill>
                    <a:schemeClr val="tx1"/>
                  </a:solidFill>
                  <a:effectLst/>
                  <a:latin typeface="Arial" panose="020B0604020202020204" pitchFamily="34" charset="0"/>
                  <a:ea typeface="+mn-ea"/>
                  <a:cs typeface="Arial" panose="020B0604020202020204" pitchFamily="34" charset="0"/>
                </a:rPr>
                <a:t> </a:t>
              </a:r>
              <a:r>
                <a:rPr lang="es-ES" sz="1200" b="1" i="0">
                  <a:solidFill>
                    <a:schemeClr val="tx1"/>
                  </a:solidFill>
                  <a:effectLst/>
                  <a:latin typeface="Cambria Math" panose="02040503050406030204" pitchFamily="18" charset="0"/>
                  <a:ea typeface="+mn-ea"/>
                  <a:cs typeface="+mn-cs"/>
                </a:rPr>
                <a:t>= 𝒖(𝑬)∗𝒌</a:t>
              </a:r>
              <a:endParaRPr lang="es-CO" sz="1200" b="1" i="1">
                <a:solidFill>
                  <a:schemeClr val="tx1"/>
                </a:solidFill>
                <a:effectLst/>
                <a:latin typeface="Arial" panose="020B0604020202020204" pitchFamily="34" charset="0"/>
                <a:ea typeface="+mn-ea"/>
                <a:cs typeface="Arial" panose="020B0604020202020204" pitchFamily="34" charset="0"/>
              </a:endParaRPr>
            </a:p>
          </xdr:txBody>
        </xdr:sp>
      </mc:Fallback>
    </mc:AlternateContent>
    <xdr:clientData/>
  </xdr:oneCellAnchor>
  <xdr:oneCellAnchor>
    <xdr:from>
      <xdr:col>10</xdr:col>
      <xdr:colOff>690563</xdr:colOff>
      <xdr:row>117</xdr:row>
      <xdr:rowOff>59531</xdr:rowOff>
    </xdr:from>
    <xdr:ext cx="1916206" cy="313764"/>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a16="http://schemas.microsoft.com/office/drawing/2014/main" xmlns="" id="{00000000-0008-0000-0200-00002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panose="02040503050406030204" pitchFamily="18" charset="0"/>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49" name="CuadroTexto 48">
              <a:extLst>
                <a:ext uri="{FF2B5EF4-FFF2-40B4-BE49-F238E27FC236}">
                  <a16:creationId xmlns="" xmlns:a16="http://schemas.microsoft.com/office/drawing/2014/main" xmlns:a14="http://schemas.microsoft.com/office/drawing/2010/main" id="{00000000-0008-0000-0200-00002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7</xdr:col>
      <xdr:colOff>411953</xdr:colOff>
      <xdr:row>122</xdr:row>
      <xdr:rowOff>72627</xdr:rowOff>
    </xdr:from>
    <xdr:ext cx="1862140" cy="300660"/>
    <mc:AlternateContent xmlns:mc="http://schemas.openxmlformats.org/markup-compatibility/2006" xmlns:a14="http://schemas.microsoft.com/office/drawing/2010/main">
      <mc:Choice Requires="a14">
        <xdr:sp macro="" textlink="">
          <xdr:nvSpPr>
            <xdr:cNvPr id="14" name="CuadroTexto 13"/>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2000" b="0" i="1">
                        <a:solidFill>
                          <a:schemeClr val="bg1"/>
                        </a:solidFill>
                        <a:latin typeface="Cambria Math" panose="02040503050406030204" pitchFamily="18" charset="0"/>
                      </a:rPr>
                      <m:t>𝑦</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𝑏</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𝑚</m:t>
                    </m:r>
                    <m:r>
                      <a:rPr lang="es-CO" sz="2000" b="0" i="1">
                        <a:solidFill>
                          <a:schemeClr val="bg1"/>
                        </a:solidFill>
                        <a:latin typeface="Cambria Math" panose="02040503050406030204" pitchFamily="18" charset="0"/>
                      </a:rPr>
                      <m:t> </m:t>
                    </m:r>
                    <m:r>
                      <a:rPr lang="es-CO" sz="2000" b="0" i="1">
                        <a:solidFill>
                          <a:schemeClr val="bg1"/>
                        </a:solidFill>
                        <a:latin typeface="Cambria Math" panose="02040503050406030204" pitchFamily="18" charset="0"/>
                      </a:rPr>
                      <m:t>𝑥</m:t>
                    </m:r>
                  </m:oMath>
                </m:oMathPara>
              </a14:m>
              <a:endParaRPr lang="es-CO" sz="2000">
                <a:solidFill>
                  <a:schemeClr val="bg1"/>
                </a:solidFill>
                <a:latin typeface="Arial" panose="020B0604020202020204" pitchFamily="34" charset="0"/>
                <a:cs typeface="Arial" panose="020B0604020202020204" pitchFamily="34" charset="0"/>
              </a:endParaRPr>
            </a:p>
          </xdr:txBody>
        </xdr:sp>
      </mc:Choice>
      <mc:Fallback xmlns="">
        <xdr:sp macro="" textlink="">
          <xdr:nvSpPr>
            <xdr:cNvPr id="14" name="CuadroTexto 13"/>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2000" b="0" i="0">
                  <a:solidFill>
                    <a:schemeClr val="bg1"/>
                  </a:solidFill>
                  <a:latin typeface="Cambria Math" panose="02040503050406030204" pitchFamily="18" charset="0"/>
                </a:rPr>
                <a:t>𝑦=𝑏+𝑚 𝑥</a:t>
              </a:r>
              <a:endParaRPr lang="es-CO" sz="2000">
                <a:solidFill>
                  <a:schemeClr val="bg1"/>
                </a:solidFill>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697706</xdr:colOff>
      <xdr:row>80</xdr:row>
      <xdr:rowOff>30957</xdr:rowOff>
    </xdr:from>
    <xdr:ext cx="1933574" cy="373857"/>
    <mc:AlternateContent xmlns:mc="http://schemas.openxmlformats.org/markup-compatibility/2006" xmlns:a14="http://schemas.microsoft.com/office/drawing/2010/main">
      <mc:Choice Requires="a14">
        <xdr:sp macro="" textlink="">
          <xdr:nvSpPr>
            <xdr:cNvPr id="22" name="CuadroTexto 21"/>
            <xdr:cNvSpPr txBox="1"/>
          </xdr:nvSpPr>
          <xdr:spPr>
            <a:xfrm>
              <a:off x="2936081" y="34035207"/>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MX" sz="1100" b="1" i="1">
                        <a:latin typeface="Cambria Math" panose="02040503050406030204" pitchFamily="18" charset="0"/>
                      </a:rPr>
                      <m:t>𝒖</m:t>
                    </m:r>
                    <m:d>
                      <m:dPr>
                        <m:ctrlPr>
                          <a:rPr lang="es-MX" sz="1100" b="1" i="1">
                            <a:latin typeface="Cambria Math" panose="02040503050406030204" pitchFamily="18" charset="0"/>
                          </a:rPr>
                        </m:ctrlPr>
                      </m:dPr>
                      <m:e>
                        <m:sSub>
                          <m:sSubPr>
                            <m:ctrlPr>
                              <a:rPr lang="es-MX" sz="1100" b="1" i="1">
                                <a:latin typeface="Cambria Math" panose="02040503050406030204" pitchFamily="18" charset="0"/>
                              </a:rPr>
                            </m:ctrlPr>
                          </m:sSubPr>
                          <m:e>
                            <m:r>
                              <a:rPr lang="es-MX" sz="1100" b="1" i="1">
                                <a:latin typeface="Cambria Math" panose="02040503050406030204" pitchFamily="18" charset="0"/>
                                <a:ea typeface="Cambria Math" panose="02040503050406030204" pitchFamily="18" charset="0"/>
                              </a:rPr>
                              <m:t>𝜹</m:t>
                            </m:r>
                            <m:r>
                              <a:rPr lang="es-MX" sz="1100" b="1" i="1">
                                <a:latin typeface="Cambria Math" panose="02040503050406030204" pitchFamily="18" charset="0"/>
                                <a:ea typeface="Cambria Math" panose="02040503050406030204" pitchFamily="18" charset="0"/>
                              </a:rPr>
                              <m:t>𝒎</m:t>
                            </m:r>
                          </m:e>
                          <m:sub>
                            <m:r>
                              <a:rPr lang="es-MX" sz="1100" b="1" i="1">
                                <a:latin typeface="Cambria Math" panose="02040503050406030204" pitchFamily="18" charset="0"/>
                              </a:rPr>
                              <m:t>𝑫</m:t>
                            </m:r>
                          </m:sub>
                        </m:sSub>
                      </m:e>
                    </m:d>
                    <m:r>
                      <a:rPr lang="es-MX" sz="1100" b="1" i="1">
                        <a:latin typeface="Cambria Math" panose="02040503050406030204" pitchFamily="18" charset="0"/>
                      </a:rPr>
                      <m:t>=</m:t>
                    </m:r>
                    <m:f>
                      <m:fPr>
                        <m:type m:val="skw"/>
                        <m:ctrlPr>
                          <a:rPr lang="es-MX" sz="1100" b="1" i="1">
                            <a:latin typeface="Cambria Math" panose="02040503050406030204" pitchFamily="18" charset="0"/>
                          </a:rPr>
                        </m:ctrlPr>
                      </m:fPr>
                      <m:num>
                        <m:r>
                          <a:rPr lang="es-MX" sz="1100" b="1" i="1">
                            <a:latin typeface="Cambria Math" panose="02040503050406030204" pitchFamily="18" charset="0"/>
                          </a:rPr>
                          <m:t>𝑫</m:t>
                        </m:r>
                      </m:num>
                      <m:den>
                        <m:rad>
                          <m:radPr>
                            <m:degHide m:val="on"/>
                            <m:ctrlPr>
                              <a:rPr lang="es-MX" sz="1100" b="1" i="1">
                                <a:latin typeface="Cambria Math" panose="02040503050406030204" pitchFamily="18" charset="0"/>
                              </a:rPr>
                            </m:ctrlPr>
                          </m:radPr>
                          <m:deg/>
                          <m:e>
                            <m:r>
                              <a:rPr lang="es-MX" sz="1100" b="1" i="1">
                                <a:latin typeface="Cambria Math" panose="02040503050406030204" pitchFamily="18" charset="0"/>
                              </a:rPr>
                              <m:t>𝟑</m:t>
                            </m:r>
                          </m:e>
                        </m:rad>
                      </m:den>
                    </m:f>
                  </m:oMath>
                </m:oMathPara>
              </a14:m>
              <a:endParaRPr lang="es-CO" sz="1100" b="1"/>
            </a:p>
          </xdr:txBody>
        </xdr:sp>
      </mc:Choice>
      <mc:Fallback xmlns="">
        <xdr:sp macro="" textlink="">
          <xdr:nvSpPr>
            <xdr:cNvPr id="22" name="CuadroTexto 21"/>
            <xdr:cNvSpPr txBox="1"/>
          </xdr:nvSpPr>
          <xdr:spPr>
            <a:xfrm>
              <a:off x="2936081" y="34035207"/>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MX" sz="1100" b="1" i="0">
                  <a:latin typeface="Cambria Math" panose="02040503050406030204" pitchFamily="18" charset="0"/>
                </a:rPr>
                <a:t>𝒖(〖</a:t>
              </a:r>
              <a:r>
                <a:rPr lang="es-MX" sz="1100" b="1" i="0">
                  <a:latin typeface="Cambria Math" panose="02040503050406030204" pitchFamily="18" charset="0"/>
                  <a:ea typeface="Cambria Math" panose="02040503050406030204" pitchFamily="18" charset="0"/>
                </a:rPr>
                <a:t>𝜹𝒎〗_</a:t>
              </a:r>
              <a:r>
                <a:rPr lang="es-MX" sz="1100" b="1" i="0">
                  <a:latin typeface="Cambria Math" panose="02040503050406030204" pitchFamily="18" charset="0"/>
                </a:rPr>
                <a:t>𝑫 )=𝑫⁄√𝟑</a:t>
              </a:r>
              <a:endParaRPr lang="es-CO" sz="1100" b="1"/>
            </a:p>
          </xdr:txBody>
        </xdr:sp>
      </mc:Fallback>
    </mc:AlternateContent>
    <xdr:clientData/>
  </xdr:oneCellAnchor>
  <xdr:twoCellAnchor>
    <xdr:from>
      <xdr:col>13</xdr:col>
      <xdr:colOff>166688</xdr:colOff>
      <xdr:row>71</xdr:row>
      <xdr:rowOff>35718</xdr:rowOff>
    </xdr:from>
    <xdr:to>
      <xdr:col>16</xdr:col>
      <xdr:colOff>928688</xdr:colOff>
      <xdr:row>81</xdr:row>
      <xdr:rowOff>404812</xdr:rowOff>
    </xdr:to>
    <xdr:graphicFrame macro="">
      <xdr:nvGraphicFramePr>
        <xdr:cNvPr id="19" name="Gráfico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1047151</xdr:colOff>
      <xdr:row>60</xdr:row>
      <xdr:rowOff>159794</xdr:rowOff>
    </xdr:from>
    <xdr:to>
      <xdr:col>5</xdr:col>
      <xdr:colOff>311727</xdr:colOff>
      <xdr:row>63</xdr:row>
      <xdr:rowOff>267835</xdr:rowOff>
    </xdr:to>
    <xdr:pic>
      <xdr:nvPicPr>
        <xdr:cNvPr id="2" name="Imagen 1">
          <a:extLst>
            <a:ext uri="{FF2B5EF4-FFF2-40B4-BE49-F238E27FC236}">
              <a16:creationId xmlns:a16="http://schemas.microsoft.com/office/drawing/2014/main" xmlns="" id="{00000000-0008-0000-0300-00000200000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4744583" y="18188021"/>
          <a:ext cx="1619849" cy="117310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101</xdr:row>
      <xdr:rowOff>95983</xdr:rowOff>
    </xdr:from>
    <xdr:ext cx="65" cy="172227"/>
    <xdr:sp macro="" textlink="">
      <xdr:nvSpPr>
        <xdr:cNvPr id="5" name="CuadroTexto 4">
          <a:extLst>
            <a:ext uri="{FF2B5EF4-FFF2-40B4-BE49-F238E27FC236}">
              <a16:creationId xmlns:a16="http://schemas.microsoft.com/office/drawing/2014/main" xmlns="" id="{00000000-0008-0000-0300-00000C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101</xdr:row>
      <xdr:rowOff>95983</xdr:rowOff>
    </xdr:from>
    <xdr:ext cx="65" cy="172227"/>
    <xdr:sp macro="" textlink="">
      <xdr:nvSpPr>
        <xdr:cNvPr id="6" name="CuadroTexto 5">
          <a:extLst>
            <a:ext uri="{FF2B5EF4-FFF2-40B4-BE49-F238E27FC236}">
              <a16:creationId xmlns:a16="http://schemas.microsoft.com/office/drawing/2014/main" xmlns="" id="{00000000-0008-0000-0300-00000D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228985</xdr:colOff>
      <xdr:row>139</xdr:row>
      <xdr:rowOff>54601</xdr:rowOff>
    </xdr:from>
    <xdr:ext cx="3400931" cy="180434"/>
    <mc:AlternateContent xmlns:mc="http://schemas.openxmlformats.org/markup-compatibility/2006" xmlns:a14="http://schemas.microsoft.com/office/drawing/2010/main">
      <mc:Choice Requires="a14">
        <xdr:sp macro="" textlink="">
          <xdr:nvSpPr>
            <xdr:cNvPr id="9" name="CuadroTexto 8"/>
            <xdr:cNvSpPr txBox="1"/>
          </xdr:nvSpPr>
          <xdr:spPr>
            <a:xfrm>
              <a:off x="1571144" y="39921056"/>
              <a:ext cx="3400931" cy="180434"/>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200" b="1" i="1">
                      <a:solidFill>
                        <a:sysClr val="windowText" lastClr="000000"/>
                      </a:solidFill>
                      <a:latin typeface="Cambria Math" panose="02040503050406030204" pitchFamily="18" charset="0"/>
                      <a:ea typeface="Cambria Math" panose="02040503050406030204" pitchFamily="18" charset="0"/>
                    </a:rPr>
                    <m:t>𝑹𝒆𝒈𝒍𝒂</m:t>
                  </m:r>
                  <m:r>
                    <a:rPr lang="es-CO" sz="1200" b="1" i="1">
                      <a:solidFill>
                        <a:sysClr val="windowText" lastClr="000000"/>
                      </a:solidFill>
                      <a:latin typeface="Cambria Math" panose="02040503050406030204" pitchFamily="18" charset="0"/>
                      <a:ea typeface="Cambria Math" panose="02040503050406030204" pitchFamily="18" charset="0"/>
                    </a:rPr>
                    <m:t> </m:t>
                  </m:r>
                  <m:r>
                    <a:rPr lang="es-CO" sz="1200" b="1" i="1">
                      <a:solidFill>
                        <a:sysClr val="windowText" lastClr="000000"/>
                      </a:solidFill>
                      <a:latin typeface="Cambria Math" panose="02040503050406030204" pitchFamily="18" charset="0"/>
                      <a:ea typeface="Cambria Math" panose="02040503050406030204" pitchFamily="18" charset="0"/>
                    </a:rPr>
                    <m:t>𝒅𝒆</m:t>
                  </m:r>
                  <m:r>
                    <a:rPr lang="es-CO" sz="1200" b="1" i="1">
                      <a:solidFill>
                        <a:sysClr val="windowText" lastClr="000000"/>
                      </a:solidFill>
                      <a:latin typeface="Cambria Math" panose="02040503050406030204" pitchFamily="18" charset="0"/>
                      <a:ea typeface="Cambria Math" panose="02040503050406030204" pitchFamily="18" charset="0"/>
                    </a:rPr>
                    <m:t> </m:t>
                  </m:r>
                  <m:r>
                    <a:rPr lang="es-CO" sz="1200" b="1" i="1">
                      <a:solidFill>
                        <a:sysClr val="windowText" lastClr="000000"/>
                      </a:solidFill>
                      <a:latin typeface="Cambria Math" panose="02040503050406030204" pitchFamily="18" charset="0"/>
                      <a:ea typeface="Cambria Math" panose="02040503050406030204" pitchFamily="18" charset="0"/>
                    </a:rPr>
                    <m:t>𝒅𝒆𝒄𝒊𝒔𝒊</m:t>
                  </m:r>
                  <m:r>
                    <a:rPr lang="es-CO" sz="1200" b="1" i="1">
                      <a:solidFill>
                        <a:sysClr val="windowText" lastClr="000000"/>
                      </a:solidFill>
                      <a:latin typeface="Cambria Math" panose="02040503050406030204" pitchFamily="18" charset="0"/>
                      <a:ea typeface="Cambria Math" panose="02040503050406030204" pitchFamily="18" charset="0"/>
                    </a:rPr>
                    <m:t>ó</m:t>
                  </m:r>
                  <m:r>
                    <a:rPr lang="es-CO" sz="1200" b="1" i="1">
                      <a:solidFill>
                        <a:sysClr val="windowText" lastClr="000000"/>
                      </a:solidFill>
                      <a:latin typeface="Cambria Math" panose="02040503050406030204" pitchFamily="18" charset="0"/>
                      <a:ea typeface="Cambria Math" panose="02040503050406030204" pitchFamily="18" charset="0"/>
                    </a:rPr>
                    <m:t>𝒏</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𝑬</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𝑼</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𝑬𝑴𝑷</m:t>
                  </m:r>
                </m:oMath>
              </a14:m>
              <a:r>
                <a:rPr lang="es-CO" sz="1200" b="1">
                  <a:solidFill>
                    <a:sysClr val="windowText" lastClr="000000"/>
                  </a:solidFill>
                  <a:latin typeface="Arial" panose="020B0604020202020204" pitchFamily="34" charset="0"/>
                  <a:cs typeface="Arial" panose="020B0604020202020204" pitchFamily="34" charset="0"/>
                </a:rPr>
                <a:t> = </a:t>
              </a:r>
              <a:r>
                <a:rPr lang="es-CO" sz="1200" b="1" i="0">
                  <a:solidFill>
                    <a:sysClr val="windowText" lastClr="000000"/>
                  </a:solidFill>
                  <a:latin typeface="Arial" panose="020B0604020202020204" pitchFamily="34" charset="0"/>
                  <a:cs typeface="Arial" panose="020B0604020202020204" pitchFamily="34" charset="0"/>
                </a:rPr>
                <a:t>CUMPLE</a:t>
              </a:r>
            </a:p>
          </xdr:txBody>
        </xdr:sp>
      </mc:Choice>
      <mc:Fallback xmlns="">
        <xdr:sp macro="" textlink="">
          <xdr:nvSpPr>
            <xdr:cNvPr id="9" name="CuadroTexto 8"/>
            <xdr:cNvSpPr txBox="1"/>
          </xdr:nvSpPr>
          <xdr:spPr>
            <a:xfrm>
              <a:off x="1571144" y="39921056"/>
              <a:ext cx="3400931" cy="180434"/>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200" b="1" i="0">
                  <a:solidFill>
                    <a:sysClr val="windowText" lastClr="000000"/>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ysClr val="windowText" lastClr="000000"/>
                  </a:solidFill>
                  <a:latin typeface="Arial" panose="020B0604020202020204" pitchFamily="34" charset="0"/>
                  <a:cs typeface="Arial" panose="020B0604020202020204" pitchFamily="34" charset="0"/>
                </a:rPr>
                <a:t> = </a:t>
              </a:r>
              <a:r>
                <a:rPr lang="es-CO" sz="1200" b="1" i="0">
                  <a:solidFill>
                    <a:sysClr val="windowText" lastClr="000000"/>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0</xdr:col>
      <xdr:colOff>796636</xdr:colOff>
      <xdr:row>120</xdr:row>
      <xdr:rowOff>225136</xdr:rowOff>
    </xdr:from>
    <xdr:to>
      <xdr:col>5</xdr:col>
      <xdr:colOff>687531</xdr:colOff>
      <xdr:row>135</xdr:row>
      <xdr:rowOff>50223</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7</xdr:col>
      <xdr:colOff>74840</xdr:colOff>
      <xdr:row>4</xdr:row>
      <xdr:rowOff>530679</xdr:rowOff>
    </xdr:from>
    <xdr:ext cx="1564821" cy="180434"/>
    <mc:AlternateContent xmlns:mc="http://schemas.openxmlformats.org/markup-compatibility/2006" xmlns:a14="http://schemas.microsoft.com/office/drawing/2010/main">
      <mc:Choice Requires="a14">
        <xdr:sp macro="" textlink="">
          <xdr:nvSpPr>
            <xdr:cNvPr id="2" name="CuadroTexto 1"/>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2" name="CuadroTexto 1"/>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𝑦=𝑏+𝑚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6</xdr:col>
      <xdr:colOff>27215</xdr:colOff>
      <xdr:row>17</xdr:row>
      <xdr:rowOff>149678</xdr:rowOff>
    </xdr:from>
    <xdr:ext cx="830036" cy="180434"/>
    <mc:AlternateContent xmlns:mc="http://schemas.openxmlformats.org/markup-compatibility/2006" xmlns:a14="http://schemas.microsoft.com/office/drawing/2010/main">
      <mc:Choice Requires="a14">
        <xdr:sp macro="" textlink="">
          <xdr:nvSpPr>
            <xdr:cNvPr id="3" name="CuadroTexto 2"/>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rgbClr val="FF0000"/>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3" name="CuadroTexto 2"/>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a:t>
              </a:r>
              <a:r>
                <a:rPr lang="es-CO" sz="1200" b="0" i="0">
                  <a:solidFill>
                    <a:srgbClr val="FF0000"/>
                  </a:solidFill>
                  <a:latin typeface="Cambria Math" panose="02040503050406030204" pitchFamily="18" charset="0"/>
                </a:rPr>
                <a:t>𝑚</a:t>
              </a:r>
              <a:r>
                <a:rPr lang="es-CO" sz="1200" b="0" i="0">
                  <a:solidFill>
                    <a:schemeClr val="tx1"/>
                  </a:solidFill>
                  <a:latin typeface="Cambria Math" panose="02040503050406030204" pitchFamily="18" charset="0"/>
                </a:rPr>
                <a:t>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editAs="oneCell">
    <xdr:from>
      <xdr:col>3</xdr:col>
      <xdr:colOff>1047151</xdr:colOff>
      <xdr:row>60</xdr:row>
      <xdr:rowOff>159794</xdr:rowOff>
    </xdr:from>
    <xdr:to>
      <xdr:col>5</xdr:col>
      <xdr:colOff>121227</xdr:colOff>
      <xdr:row>63</xdr:row>
      <xdr:rowOff>267835</xdr:rowOff>
    </xdr:to>
    <xdr:pic>
      <xdr:nvPicPr>
        <xdr:cNvPr id="2" name="Imagen 1">
          <a:extLst>
            <a:ext uri="{FF2B5EF4-FFF2-40B4-BE49-F238E27FC236}">
              <a16:creationId xmlns:a16="http://schemas.microsoft.com/office/drawing/2014/main" xmlns="" id="{00000000-0008-0000-0300-00000200000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4752376" y="19095494"/>
          <a:ext cx="1626776" cy="1165316"/>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101</xdr:row>
      <xdr:rowOff>95983</xdr:rowOff>
    </xdr:from>
    <xdr:ext cx="65" cy="172227"/>
    <xdr:sp macro="" textlink="">
      <xdr:nvSpPr>
        <xdr:cNvPr id="3" name="CuadroTexto 2">
          <a:extLst>
            <a:ext uri="{FF2B5EF4-FFF2-40B4-BE49-F238E27FC236}">
              <a16:creationId xmlns:a16="http://schemas.microsoft.com/office/drawing/2014/main" xmlns="" id="{00000000-0008-0000-0300-00000C000000}"/>
            </a:ext>
          </a:extLst>
        </xdr:cNvPr>
        <xdr:cNvSpPr txBox="1"/>
      </xdr:nvSpPr>
      <xdr:spPr>
        <a:xfrm>
          <a:off x="304800" y="3103318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101</xdr:row>
      <xdr:rowOff>95983</xdr:rowOff>
    </xdr:from>
    <xdr:ext cx="65" cy="172227"/>
    <xdr:sp macro="" textlink="">
      <xdr:nvSpPr>
        <xdr:cNvPr id="4" name="CuadroTexto 3">
          <a:extLst>
            <a:ext uri="{FF2B5EF4-FFF2-40B4-BE49-F238E27FC236}">
              <a16:creationId xmlns:a16="http://schemas.microsoft.com/office/drawing/2014/main" xmlns="" id="{00000000-0008-0000-0300-00000D000000}"/>
            </a:ext>
          </a:extLst>
        </xdr:cNvPr>
        <xdr:cNvSpPr txBox="1"/>
      </xdr:nvSpPr>
      <xdr:spPr>
        <a:xfrm>
          <a:off x="304800" y="3103318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228985</xdr:colOff>
      <xdr:row>139</xdr:row>
      <xdr:rowOff>54601</xdr:rowOff>
    </xdr:from>
    <xdr:ext cx="3400931" cy="180434"/>
    <mc:AlternateContent xmlns:mc="http://schemas.openxmlformats.org/markup-compatibility/2006" xmlns:a14="http://schemas.microsoft.com/office/drawing/2010/main">
      <mc:Choice Requires="a14">
        <xdr:sp macro="" textlink="">
          <xdr:nvSpPr>
            <xdr:cNvPr id="5" name="CuadroTexto 4"/>
            <xdr:cNvSpPr txBox="1"/>
          </xdr:nvSpPr>
          <xdr:spPr>
            <a:xfrm>
              <a:off x="1572010" y="40735876"/>
              <a:ext cx="3400931" cy="180434"/>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200" b="1" i="1">
                      <a:solidFill>
                        <a:sysClr val="windowText" lastClr="000000"/>
                      </a:solidFill>
                      <a:latin typeface="Cambria Math" panose="02040503050406030204" pitchFamily="18" charset="0"/>
                      <a:ea typeface="Cambria Math" panose="02040503050406030204" pitchFamily="18" charset="0"/>
                    </a:rPr>
                    <m:t>𝑹𝒆𝒈𝒍𝒂</m:t>
                  </m:r>
                  <m:r>
                    <a:rPr lang="es-CO" sz="1200" b="1" i="1">
                      <a:solidFill>
                        <a:sysClr val="windowText" lastClr="000000"/>
                      </a:solidFill>
                      <a:latin typeface="Cambria Math" panose="02040503050406030204" pitchFamily="18" charset="0"/>
                      <a:ea typeface="Cambria Math" panose="02040503050406030204" pitchFamily="18" charset="0"/>
                    </a:rPr>
                    <m:t> </m:t>
                  </m:r>
                  <m:r>
                    <a:rPr lang="es-CO" sz="1200" b="1" i="1">
                      <a:solidFill>
                        <a:sysClr val="windowText" lastClr="000000"/>
                      </a:solidFill>
                      <a:latin typeface="Cambria Math" panose="02040503050406030204" pitchFamily="18" charset="0"/>
                      <a:ea typeface="Cambria Math" panose="02040503050406030204" pitchFamily="18" charset="0"/>
                    </a:rPr>
                    <m:t>𝒅𝒆</m:t>
                  </m:r>
                  <m:r>
                    <a:rPr lang="es-CO" sz="1200" b="1" i="1">
                      <a:solidFill>
                        <a:sysClr val="windowText" lastClr="000000"/>
                      </a:solidFill>
                      <a:latin typeface="Cambria Math" panose="02040503050406030204" pitchFamily="18" charset="0"/>
                      <a:ea typeface="Cambria Math" panose="02040503050406030204" pitchFamily="18" charset="0"/>
                    </a:rPr>
                    <m:t> </m:t>
                  </m:r>
                  <m:r>
                    <a:rPr lang="es-CO" sz="1200" b="1" i="1">
                      <a:solidFill>
                        <a:sysClr val="windowText" lastClr="000000"/>
                      </a:solidFill>
                      <a:latin typeface="Cambria Math" panose="02040503050406030204" pitchFamily="18" charset="0"/>
                      <a:ea typeface="Cambria Math" panose="02040503050406030204" pitchFamily="18" charset="0"/>
                    </a:rPr>
                    <m:t>𝒅𝒆𝒄𝒊𝒔𝒊</m:t>
                  </m:r>
                  <m:r>
                    <a:rPr lang="es-CO" sz="1200" b="1" i="1">
                      <a:solidFill>
                        <a:sysClr val="windowText" lastClr="000000"/>
                      </a:solidFill>
                      <a:latin typeface="Cambria Math" panose="02040503050406030204" pitchFamily="18" charset="0"/>
                      <a:ea typeface="Cambria Math" panose="02040503050406030204" pitchFamily="18" charset="0"/>
                    </a:rPr>
                    <m:t>ó</m:t>
                  </m:r>
                  <m:r>
                    <a:rPr lang="es-CO" sz="1200" b="1" i="1">
                      <a:solidFill>
                        <a:sysClr val="windowText" lastClr="000000"/>
                      </a:solidFill>
                      <a:latin typeface="Cambria Math" panose="02040503050406030204" pitchFamily="18" charset="0"/>
                      <a:ea typeface="Cambria Math" panose="02040503050406030204" pitchFamily="18" charset="0"/>
                    </a:rPr>
                    <m:t>𝒏</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𝑬</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𝑼</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𝑬𝑴𝑷</m:t>
                  </m:r>
                </m:oMath>
              </a14:m>
              <a:r>
                <a:rPr lang="es-CO" sz="1200" b="1">
                  <a:solidFill>
                    <a:sysClr val="windowText" lastClr="000000"/>
                  </a:solidFill>
                  <a:latin typeface="Arial" panose="020B0604020202020204" pitchFamily="34" charset="0"/>
                  <a:cs typeface="Arial" panose="020B0604020202020204" pitchFamily="34" charset="0"/>
                </a:rPr>
                <a:t> = </a:t>
              </a:r>
              <a:r>
                <a:rPr lang="es-CO" sz="1200" b="1" i="0">
                  <a:solidFill>
                    <a:sysClr val="windowText" lastClr="000000"/>
                  </a:solidFill>
                  <a:latin typeface="Arial" panose="020B0604020202020204" pitchFamily="34" charset="0"/>
                  <a:cs typeface="Arial" panose="020B0604020202020204" pitchFamily="34" charset="0"/>
                </a:rPr>
                <a:t>CUMPLE</a:t>
              </a:r>
            </a:p>
          </xdr:txBody>
        </xdr:sp>
      </mc:Choice>
      <mc:Fallback xmlns="">
        <xdr:sp macro="" textlink="">
          <xdr:nvSpPr>
            <xdr:cNvPr id="5" name="CuadroTexto 4"/>
            <xdr:cNvSpPr txBox="1"/>
          </xdr:nvSpPr>
          <xdr:spPr>
            <a:xfrm>
              <a:off x="1572010" y="40735876"/>
              <a:ext cx="3400931" cy="180434"/>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200" b="1" i="0">
                  <a:solidFill>
                    <a:sysClr val="windowText" lastClr="000000"/>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ysClr val="windowText" lastClr="000000"/>
                  </a:solidFill>
                  <a:latin typeface="Arial" panose="020B0604020202020204" pitchFamily="34" charset="0"/>
                  <a:cs typeface="Arial" panose="020B0604020202020204" pitchFamily="34" charset="0"/>
                </a:rPr>
                <a:t> = </a:t>
              </a:r>
              <a:r>
                <a:rPr lang="es-CO" sz="1200" b="1" i="0">
                  <a:solidFill>
                    <a:sysClr val="windowText" lastClr="000000"/>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0</xdr:col>
      <xdr:colOff>796636</xdr:colOff>
      <xdr:row>120</xdr:row>
      <xdr:rowOff>225136</xdr:rowOff>
    </xdr:from>
    <xdr:to>
      <xdr:col>5</xdr:col>
      <xdr:colOff>687531</xdr:colOff>
      <xdr:row>135</xdr:row>
      <xdr:rowOff>50223</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guirre/Desktop/Directos/Funcionarios/SISTEMA%20GESTION%20DE%20CALIDAD/Laboratorios%20de%20masas%20y%20volumen%20(RT03)/Calibraciones%20Balanzas/Calibraciones%20casa%20consumidor%20Popayan/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VARGAS/Desktop/hoja%20balanzas/CERTIFICADO%200008%20Pedro%20Vargas%20Barranquilla%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row r="21">
          <cell r="C21">
            <v>-6.7440415040991324E-6</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externalLinkPath" Target="/Users/CA32F~1.YAH/AppData/Local/Temp/Rar$DIa0.424/RT03-F12.Vr.1(2017-04-47).xlsx" TargetMode="External"/><Relationship Id="rId1" Type="http://schemas.openxmlformats.org/officeDocument/2006/relationships/externalLinkPath" Target="/Users/CA32F~1.YAH/AppData/Local/Temp/Rar$DIa0.424/RT03-F12.Vr.1(2017-04-47).xlsx"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CE202"/>
  <sheetViews>
    <sheetView showGridLines="0" view="pageBreakPreview" topLeftCell="A144" zoomScale="80" zoomScaleNormal="20" zoomScaleSheetLayoutView="80" workbookViewId="0">
      <selection activeCell="E161" sqref="E161"/>
    </sheetView>
  </sheetViews>
  <sheetFormatPr baseColWidth="10" defaultColWidth="15.7109375" defaultRowHeight="15" x14ac:dyDescent="0.2"/>
  <cols>
    <col min="1" max="1" width="15.7109375" style="61"/>
    <col min="2" max="7" width="20.7109375" style="61" customWidth="1"/>
    <col min="8" max="8" width="20.140625" style="61" customWidth="1"/>
    <col min="9" max="9" width="24.28515625" style="61" customWidth="1"/>
    <col min="10" max="10" width="22.140625" style="61" customWidth="1"/>
    <col min="11" max="12" width="20.7109375" style="61" customWidth="1"/>
    <col min="13" max="13" width="19.140625" style="61" customWidth="1"/>
    <col min="14" max="14" width="19.42578125" style="61" customWidth="1"/>
    <col min="15" max="16" width="20.7109375" style="63" customWidth="1"/>
    <col min="17" max="17" width="24.28515625" style="63" customWidth="1"/>
    <col min="18" max="21" width="20.7109375" style="63" customWidth="1"/>
    <col min="22" max="22" width="22.140625" style="63" customWidth="1"/>
    <col min="23" max="26" width="20.7109375" style="63" customWidth="1"/>
    <col min="27" max="33" width="20.7109375" style="61" customWidth="1"/>
    <col min="34" max="34" width="19.85546875" style="61" bestFit="1" customWidth="1"/>
    <col min="35" max="38" width="15.85546875" style="61" bestFit="1" customWidth="1"/>
    <col min="39" max="43" width="16" style="61" customWidth="1"/>
    <col min="44" max="47" width="10.7109375" style="61" customWidth="1"/>
    <col min="48" max="48" width="16" style="61" bestFit="1" customWidth="1"/>
    <col min="49" max="49" width="15.85546875" style="61" bestFit="1" customWidth="1"/>
    <col min="50" max="50" width="20.7109375" style="61" bestFit="1" customWidth="1"/>
    <col min="51" max="51" width="15.85546875" style="61" bestFit="1" customWidth="1"/>
    <col min="52" max="52" width="15.7109375" style="61"/>
    <col min="53" max="53" width="20" style="61" customWidth="1"/>
    <col min="54" max="55" width="10.7109375" style="61" customWidth="1"/>
    <col min="56" max="16384" width="15.7109375" style="61"/>
  </cols>
  <sheetData>
    <row r="1" spans="2:83" ht="30" customHeight="1" x14ac:dyDescent="0.2">
      <c r="C1" s="62"/>
      <c r="D1" s="62"/>
      <c r="E1" s="62"/>
      <c r="F1" s="62"/>
      <c r="G1" s="62"/>
      <c r="H1" s="62"/>
      <c r="I1" s="62"/>
      <c r="J1" s="62"/>
      <c r="K1" s="62"/>
      <c r="L1" s="62"/>
      <c r="M1" s="62"/>
    </row>
    <row r="2" spans="2:83" ht="30" customHeight="1" thickBot="1" x14ac:dyDescent="0.25">
      <c r="B2" s="62"/>
      <c r="C2" s="62"/>
      <c r="D2" s="62"/>
      <c r="E2" s="62"/>
      <c r="F2" s="62"/>
      <c r="G2" s="62"/>
      <c r="H2" s="62"/>
      <c r="I2" s="62"/>
      <c r="J2" s="62"/>
      <c r="K2" s="62"/>
      <c r="L2" s="62"/>
      <c r="M2" s="62"/>
    </row>
    <row r="3" spans="2:83" ht="30" customHeight="1" x14ac:dyDescent="0.2">
      <c r="B3" s="62"/>
      <c r="C3" s="1016" t="s">
        <v>106</v>
      </c>
      <c r="D3" s="1017"/>
      <c r="E3" s="1017"/>
      <c r="F3" s="1017"/>
      <c r="G3" s="1017"/>
      <c r="H3" s="1017"/>
      <c r="I3" s="1017"/>
      <c r="J3" s="1017"/>
      <c r="K3" s="1017"/>
      <c r="L3" s="1017"/>
      <c r="M3" s="1017"/>
      <c r="N3" s="1018"/>
    </row>
    <row r="4" spans="2:83" ht="30" customHeight="1" thickBot="1" x14ac:dyDescent="0.25">
      <c r="B4" s="62"/>
      <c r="C4" s="1019"/>
      <c r="D4" s="1020"/>
      <c r="E4" s="1020"/>
      <c r="F4" s="1020"/>
      <c r="G4" s="1020"/>
      <c r="H4" s="1020"/>
      <c r="I4" s="1020"/>
      <c r="J4" s="1020"/>
      <c r="K4" s="1020"/>
      <c r="L4" s="1020"/>
      <c r="M4" s="1020"/>
      <c r="N4" s="1021"/>
    </row>
    <row r="5" spans="2:83" ht="30" customHeight="1" x14ac:dyDescent="0.2">
      <c r="B5" s="62"/>
      <c r="C5" s="1045" t="s">
        <v>107</v>
      </c>
      <c r="D5" s="1015" t="s">
        <v>6</v>
      </c>
      <c r="E5" s="1015" t="s">
        <v>108</v>
      </c>
      <c r="F5" s="1015" t="s">
        <v>7</v>
      </c>
      <c r="G5" s="1015" t="s">
        <v>369</v>
      </c>
      <c r="H5" s="1015" t="s">
        <v>334</v>
      </c>
      <c r="I5" s="1015" t="s">
        <v>72</v>
      </c>
      <c r="J5" s="1015" t="s">
        <v>370</v>
      </c>
      <c r="K5" s="1015" t="s">
        <v>257</v>
      </c>
      <c r="L5" s="898"/>
      <c r="M5" s="1022" t="s">
        <v>378</v>
      </c>
      <c r="N5" s="1024" t="s">
        <v>241</v>
      </c>
    </row>
    <row r="6" spans="2:83" ht="30" customHeight="1" thickBot="1" x14ac:dyDescent="0.25">
      <c r="B6" s="62"/>
      <c r="C6" s="1046"/>
      <c r="D6" s="1012"/>
      <c r="E6" s="1012"/>
      <c r="F6" s="1012"/>
      <c r="G6" s="1012"/>
      <c r="H6" s="1012"/>
      <c r="I6" s="1012"/>
      <c r="J6" s="1012"/>
      <c r="K6" s="1012"/>
      <c r="L6" s="899"/>
      <c r="M6" s="1023" t="s">
        <v>240</v>
      </c>
      <c r="N6" s="1025"/>
    </row>
    <row r="7" spans="2:83" ht="30" customHeight="1" x14ac:dyDescent="0.2">
      <c r="B7" s="62"/>
      <c r="C7" s="115"/>
      <c r="D7" s="116"/>
      <c r="E7" s="116"/>
      <c r="F7" s="116"/>
      <c r="G7" s="116"/>
      <c r="H7" s="116"/>
      <c r="I7" s="116"/>
      <c r="J7" s="116"/>
      <c r="K7" s="116"/>
      <c r="L7" s="117"/>
      <c r="M7" s="120"/>
      <c r="N7" s="117"/>
    </row>
    <row r="8" spans="2:83" s="68" customFormat="1" ht="75" customHeight="1" x14ac:dyDescent="0.2">
      <c r="B8" s="67"/>
      <c r="C8" s="249">
        <v>1</v>
      </c>
      <c r="D8" s="330" t="s">
        <v>470</v>
      </c>
      <c r="E8" s="331">
        <v>43857</v>
      </c>
      <c r="F8" s="332" t="s">
        <v>449</v>
      </c>
      <c r="G8" s="332" t="s">
        <v>450</v>
      </c>
      <c r="H8" s="419" t="s">
        <v>450</v>
      </c>
      <c r="I8" s="331">
        <v>43857</v>
      </c>
      <c r="J8" s="330" t="s">
        <v>451</v>
      </c>
      <c r="K8" s="330" t="s">
        <v>452</v>
      </c>
      <c r="L8" s="293"/>
      <c r="M8" s="294">
        <v>2</v>
      </c>
      <c r="N8" s="430">
        <v>0.95</v>
      </c>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CD8" s="61"/>
      <c r="CE8" s="61"/>
    </row>
    <row r="9" spans="2:83" s="68" customFormat="1" ht="30" customHeight="1" thickBot="1" x14ac:dyDescent="0.25">
      <c r="B9" s="67"/>
      <c r="C9" s="69"/>
      <c r="D9" s="70"/>
      <c r="E9" s="70"/>
      <c r="F9" s="70"/>
      <c r="G9" s="70"/>
      <c r="H9" s="70"/>
      <c r="I9" s="70"/>
      <c r="J9" s="70"/>
      <c r="K9" s="70"/>
      <c r="L9" s="114"/>
      <c r="M9" s="118"/>
      <c r="N9" s="119"/>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CD9" s="61"/>
      <c r="CE9" s="61"/>
    </row>
    <row r="10" spans="2:83" s="68" customFormat="1" ht="30" customHeight="1" x14ac:dyDescent="0.2">
      <c r="B10" s="67"/>
      <c r="C10" s="67"/>
      <c r="D10" s="67"/>
      <c r="E10" s="67"/>
      <c r="F10" s="67"/>
      <c r="G10" s="67"/>
      <c r="H10" s="67"/>
      <c r="I10" s="67"/>
      <c r="J10" s="67"/>
      <c r="K10" s="67"/>
      <c r="L10" s="67"/>
      <c r="M10" s="62"/>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CD10" s="61"/>
      <c r="CE10" s="61"/>
    </row>
    <row r="11" spans="2:83" s="68" customFormat="1" ht="30" customHeight="1" thickBot="1" x14ac:dyDescent="0.25">
      <c r="B11" s="67"/>
      <c r="C11" s="67"/>
      <c r="D11" s="67"/>
      <c r="E11" s="67"/>
      <c r="F11" s="67"/>
      <c r="G11" s="67"/>
      <c r="H11" s="67"/>
      <c r="I11" s="67"/>
      <c r="J11" s="67"/>
      <c r="K11" s="67"/>
      <c r="L11" s="67"/>
      <c r="M11" s="62"/>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CD11" s="61"/>
      <c r="CE11" s="61"/>
    </row>
    <row r="12" spans="2:83" s="68" customFormat="1" ht="30" customHeight="1" x14ac:dyDescent="0.2">
      <c r="B12" s="67"/>
      <c r="C12" s="1016" t="s">
        <v>191</v>
      </c>
      <c r="D12" s="1017"/>
      <c r="E12" s="1017"/>
      <c r="F12" s="1017"/>
      <c r="G12" s="1017"/>
      <c r="H12" s="1017"/>
      <c r="I12" s="1017"/>
      <c r="J12" s="1017"/>
      <c r="K12" s="1017"/>
      <c r="L12" s="1018"/>
      <c r="M12" s="62"/>
      <c r="N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CD12" s="61"/>
      <c r="CE12" s="61"/>
    </row>
    <row r="13" spans="2:83" ht="30" customHeight="1" thickBot="1" x14ac:dyDescent="0.25">
      <c r="B13" s="67"/>
      <c r="C13" s="1019"/>
      <c r="D13" s="1020"/>
      <c r="E13" s="1020"/>
      <c r="F13" s="1020"/>
      <c r="G13" s="1020"/>
      <c r="H13" s="1020"/>
      <c r="I13" s="1020"/>
      <c r="J13" s="1020"/>
      <c r="K13" s="1020"/>
      <c r="L13" s="1021"/>
      <c r="M13" s="62"/>
    </row>
    <row r="14" spans="2:83" ht="30" customHeight="1" x14ac:dyDescent="0.2">
      <c r="B14" s="67"/>
      <c r="C14" s="1005" t="s">
        <v>107</v>
      </c>
      <c r="D14" s="1007" t="s">
        <v>3</v>
      </c>
      <c r="E14" s="1007" t="s">
        <v>8</v>
      </c>
      <c r="F14" s="1007" t="s">
        <v>1</v>
      </c>
      <c r="G14" s="1009" t="s">
        <v>255</v>
      </c>
      <c r="H14" s="1009" t="s">
        <v>42</v>
      </c>
      <c r="I14" s="1007" t="s">
        <v>256</v>
      </c>
      <c r="J14" s="1007" t="s">
        <v>380</v>
      </c>
      <c r="K14" s="1011" t="s">
        <v>211</v>
      </c>
      <c r="L14" s="1013" t="s">
        <v>257</v>
      </c>
      <c r="M14" s="62"/>
    </row>
    <row r="15" spans="2:83" ht="30" customHeight="1" thickBot="1" x14ac:dyDescent="0.25">
      <c r="B15" s="67"/>
      <c r="C15" s="1006"/>
      <c r="D15" s="1008"/>
      <c r="E15" s="1008"/>
      <c r="F15" s="1008"/>
      <c r="G15" s="1010"/>
      <c r="H15" s="1010"/>
      <c r="I15" s="1008"/>
      <c r="J15" s="1008"/>
      <c r="K15" s="1012"/>
      <c r="L15" s="1014"/>
      <c r="M15" s="62"/>
    </row>
    <row r="16" spans="2:83" ht="30" customHeight="1" x14ac:dyDescent="0.2">
      <c r="B16" s="67"/>
      <c r="C16" s="64"/>
      <c r="D16" s="65"/>
      <c r="E16" s="65"/>
      <c r="F16" s="65"/>
      <c r="G16" s="65"/>
      <c r="H16" s="65"/>
      <c r="I16" s="65"/>
      <c r="J16" s="65"/>
      <c r="K16" s="65"/>
      <c r="L16" s="66"/>
      <c r="M16" s="62"/>
    </row>
    <row r="17" spans="2:46" ht="30" customHeight="1" x14ac:dyDescent="0.2">
      <c r="B17" s="67"/>
      <c r="C17" s="249">
        <v>1</v>
      </c>
      <c r="D17" s="332" t="s">
        <v>104</v>
      </c>
      <c r="E17" s="332" t="s">
        <v>453</v>
      </c>
      <c r="F17" s="332">
        <v>27106560</v>
      </c>
      <c r="G17" s="333">
        <v>8200</v>
      </c>
      <c r="H17" s="332">
        <v>5</v>
      </c>
      <c r="I17" s="332">
        <v>0.1</v>
      </c>
      <c r="J17" s="332">
        <v>1</v>
      </c>
      <c r="K17" s="328" t="str">
        <f>J8</f>
        <v>LCB-20-XXX</v>
      </c>
      <c r="L17" s="329" t="str">
        <f>K8</f>
        <v>LCB-001-20 ONAC</v>
      </c>
      <c r="M17" s="62"/>
    </row>
    <row r="18" spans="2:46" ht="30" customHeight="1" thickBot="1" x14ac:dyDescent="0.25">
      <c r="B18" s="67"/>
      <c r="C18" s="71"/>
      <c r="D18" s="72"/>
      <c r="E18" s="72"/>
      <c r="F18" s="72"/>
      <c r="G18" s="73"/>
      <c r="H18" s="73"/>
      <c r="I18" s="72"/>
      <c r="J18" s="72"/>
      <c r="K18" s="73"/>
      <c r="L18" s="74"/>
      <c r="M18" s="62"/>
    </row>
    <row r="19" spans="2:46" ht="30" customHeight="1" x14ac:dyDescent="0.2">
      <c r="B19" s="67"/>
      <c r="C19" s="67"/>
      <c r="D19" s="67"/>
      <c r="E19" s="67"/>
      <c r="F19" s="67"/>
      <c r="G19" s="67"/>
      <c r="H19" s="67"/>
      <c r="I19" s="67"/>
      <c r="J19" s="67"/>
      <c r="K19" s="67"/>
      <c r="L19" s="67"/>
      <c r="M19" s="62"/>
    </row>
    <row r="20" spans="2:46" ht="30" customHeight="1" x14ac:dyDescent="0.2">
      <c r="B20" s="67"/>
      <c r="C20" s="67"/>
      <c r="D20" s="67"/>
      <c r="E20" s="67"/>
      <c r="F20" s="67"/>
      <c r="G20" s="67"/>
      <c r="H20" s="67"/>
      <c r="I20" s="67"/>
      <c r="J20" s="67"/>
      <c r="K20" s="67"/>
      <c r="L20" s="67"/>
      <c r="M20" s="62"/>
      <c r="AS20" s="67"/>
      <c r="AT20" s="62"/>
    </row>
    <row r="21" spans="2:46" ht="30" customHeight="1" x14ac:dyDescent="0.2">
      <c r="B21" s="67"/>
      <c r="C21" s="67"/>
      <c r="D21" s="67"/>
      <c r="E21" s="67"/>
      <c r="F21" s="67"/>
      <c r="G21" s="67"/>
      <c r="H21" s="67"/>
      <c r="I21" s="67"/>
      <c r="J21" s="67"/>
      <c r="K21" s="67"/>
      <c r="L21" s="67"/>
      <c r="M21" s="62"/>
      <c r="AS21" s="67"/>
      <c r="AT21" s="62"/>
    </row>
    <row r="22" spans="2:46" ht="30" customHeight="1" thickBot="1" x14ac:dyDescent="0.25">
      <c r="B22" s="67"/>
      <c r="C22" s="67"/>
      <c r="D22" s="67"/>
      <c r="E22" s="67"/>
      <c r="F22" s="67"/>
      <c r="G22" s="67"/>
      <c r="H22" s="67"/>
      <c r="I22" s="67"/>
      <c r="J22" s="67"/>
      <c r="K22" s="67"/>
      <c r="L22" s="67"/>
      <c r="M22" s="62"/>
      <c r="AS22" s="67"/>
      <c r="AT22" s="62"/>
    </row>
    <row r="23" spans="2:46" ht="30" customHeight="1" x14ac:dyDescent="0.2">
      <c r="B23" s="67"/>
      <c r="C23" s="1016" t="s">
        <v>193</v>
      </c>
      <c r="D23" s="1017"/>
      <c r="E23" s="1017"/>
      <c r="F23" s="1017"/>
      <c r="G23" s="1017"/>
      <c r="H23" s="1017"/>
      <c r="I23" s="1017"/>
      <c r="J23" s="1017"/>
      <c r="K23" s="1017"/>
      <c r="L23" s="1017"/>
      <c r="M23" s="1017"/>
      <c r="N23" s="1017"/>
      <c r="O23" s="1017"/>
      <c r="P23" s="1017"/>
      <c r="Q23" s="1017"/>
      <c r="R23" s="1017"/>
      <c r="S23" s="1017"/>
      <c r="T23" s="1017"/>
      <c r="U23" s="1017"/>
      <c r="V23" s="1018"/>
      <c r="AS23" s="67"/>
      <c r="AT23" s="62"/>
    </row>
    <row r="24" spans="2:46" ht="30" customHeight="1" thickBot="1" x14ac:dyDescent="0.25">
      <c r="B24" s="67"/>
      <c r="C24" s="1019"/>
      <c r="D24" s="1020"/>
      <c r="E24" s="1020"/>
      <c r="F24" s="1020"/>
      <c r="G24" s="1020"/>
      <c r="H24" s="1020"/>
      <c r="I24" s="1020"/>
      <c r="J24" s="1020"/>
      <c r="K24" s="1020"/>
      <c r="L24" s="1020"/>
      <c r="M24" s="1020"/>
      <c r="N24" s="1020"/>
      <c r="O24" s="1020"/>
      <c r="P24" s="1020"/>
      <c r="Q24" s="1020"/>
      <c r="R24" s="1020"/>
      <c r="S24" s="1020"/>
      <c r="T24" s="1020"/>
      <c r="U24" s="1020"/>
      <c r="V24" s="1021"/>
      <c r="AS24" s="67"/>
      <c r="AT24" s="62"/>
    </row>
    <row r="25" spans="2:46" ht="30" customHeight="1" x14ac:dyDescent="0.2">
      <c r="B25" s="67"/>
      <c r="C25" s="1039" t="s">
        <v>111</v>
      </c>
      <c r="D25" s="1041" t="s">
        <v>0</v>
      </c>
      <c r="E25" s="1041" t="s">
        <v>3</v>
      </c>
      <c r="F25" s="1041" t="s">
        <v>1</v>
      </c>
      <c r="G25" s="1041" t="s">
        <v>112</v>
      </c>
      <c r="H25" s="1043" t="s">
        <v>391</v>
      </c>
      <c r="I25" s="1043" t="s">
        <v>390</v>
      </c>
      <c r="J25" s="1037" t="s">
        <v>113</v>
      </c>
      <c r="K25" s="1037" t="s">
        <v>194</v>
      </c>
      <c r="L25" s="1037" t="s">
        <v>195</v>
      </c>
      <c r="M25" s="1037" t="s">
        <v>392</v>
      </c>
      <c r="N25" s="1043" t="s">
        <v>425</v>
      </c>
      <c r="O25" s="1037" t="s">
        <v>388</v>
      </c>
      <c r="P25" s="1043" t="s">
        <v>389</v>
      </c>
      <c r="Q25" s="492" t="s">
        <v>426</v>
      </c>
      <c r="R25" s="1037" t="s">
        <v>114</v>
      </c>
      <c r="S25" s="1037" t="s">
        <v>219</v>
      </c>
      <c r="T25" s="1037" t="s">
        <v>115</v>
      </c>
      <c r="U25" s="1029" t="s">
        <v>91</v>
      </c>
      <c r="V25" s="1037" t="s">
        <v>427</v>
      </c>
      <c r="AS25" s="67"/>
    </row>
    <row r="26" spans="2:46" ht="42.75" customHeight="1" thickBot="1" x14ac:dyDescent="0.25">
      <c r="B26" s="67"/>
      <c r="C26" s="1040"/>
      <c r="D26" s="1042"/>
      <c r="E26" s="1042"/>
      <c r="F26" s="1042"/>
      <c r="G26" s="1042"/>
      <c r="H26" s="1044"/>
      <c r="I26" s="1044"/>
      <c r="J26" s="1038"/>
      <c r="K26" s="1038"/>
      <c r="L26" s="1038"/>
      <c r="M26" s="1038"/>
      <c r="N26" s="1044"/>
      <c r="O26" s="1038"/>
      <c r="P26" s="1044"/>
      <c r="Q26" s="682" t="s">
        <v>471</v>
      </c>
      <c r="R26" s="1038"/>
      <c r="S26" s="1038"/>
      <c r="T26" s="1038"/>
      <c r="U26" s="1030"/>
      <c r="V26" s="1038"/>
      <c r="AS26" s="67"/>
    </row>
    <row r="27" spans="2:46" ht="30" customHeight="1" thickBot="1" x14ac:dyDescent="0.25">
      <c r="B27" s="67"/>
      <c r="C27" s="709"/>
      <c r="D27" s="710"/>
      <c r="E27" s="710"/>
      <c r="F27" s="710"/>
      <c r="G27" s="710"/>
      <c r="H27" s="710"/>
      <c r="I27" s="710"/>
      <c r="J27" s="710"/>
      <c r="K27" s="710"/>
      <c r="L27" s="710"/>
      <c r="M27" s="711"/>
      <c r="N27" s="710"/>
      <c r="O27" s="712"/>
      <c r="P27" s="712"/>
      <c r="Q27" s="710"/>
      <c r="R27" s="712"/>
      <c r="S27" s="710"/>
      <c r="T27" s="712"/>
      <c r="U27" s="713"/>
      <c r="V27" s="714"/>
      <c r="AS27" s="67"/>
    </row>
    <row r="28" spans="2:46" ht="30" customHeight="1" x14ac:dyDescent="0.2">
      <c r="B28" s="1026" t="s">
        <v>358</v>
      </c>
      <c r="C28" s="136" t="s">
        <v>336</v>
      </c>
      <c r="D28" s="137" t="s">
        <v>192</v>
      </c>
      <c r="E28" s="137" t="s">
        <v>174</v>
      </c>
      <c r="F28" s="137">
        <v>27696</v>
      </c>
      <c r="G28" s="137" t="s">
        <v>175</v>
      </c>
      <c r="H28" s="137">
        <v>1519</v>
      </c>
      <c r="I28" s="350">
        <v>43726</v>
      </c>
      <c r="J28" s="137">
        <v>5</v>
      </c>
      <c r="K28" s="137">
        <v>1</v>
      </c>
      <c r="L28" s="137">
        <v>1</v>
      </c>
      <c r="M28" s="334">
        <v>7.0000000000000007E-2</v>
      </c>
      <c r="N28" s="139">
        <v>7.0000000000000007E-2</v>
      </c>
      <c r="O28" s="523">
        <f>J28+(M28)/1000</f>
        <v>5.00007</v>
      </c>
      <c r="P28" s="138">
        <f t="shared" ref="P28:P33" si="0">J28+(N28)/1000</f>
        <v>5.00007</v>
      </c>
      <c r="Q28" s="525">
        <f t="shared" ref="Q28:Q33" si="1">(P28-O28)/SQRT(3)*1000</f>
        <v>0</v>
      </c>
      <c r="R28" s="139">
        <v>0.05</v>
      </c>
      <c r="S28" s="140">
        <f>(0.34848*((752.6+754.7)/2)-0.009024*((44.6+52.7)/2)*EXP(0.0612*((20.5+21)/2)))/(273.15+((20.5+21)/2))</f>
        <v>0.88829136227968475</v>
      </c>
      <c r="T28" s="137" t="s">
        <v>197</v>
      </c>
      <c r="U28" s="674" t="s">
        <v>248</v>
      </c>
      <c r="V28" s="1055">
        <v>2</v>
      </c>
      <c r="AS28" s="67"/>
    </row>
    <row r="29" spans="2:46" ht="30" customHeight="1" x14ac:dyDescent="0.2">
      <c r="B29" s="1027"/>
      <c r="C29" s="141" t="s">
        <v>337</v>
      </c>
      <c r="D29" s="130" t="s">
        <v>192</v>
      </c>
      <c r="E29" s="130" t="s">
        <v>174</v>
      </c>
      <c r="F29" s="130">
        <v>27696</v>
      </c>
      <c r="G29" s="130" t="s">
        <v>175</v>
      </c>
      <c r="H29" s="130">
        <v>1519</v>
      </c>
      <c r="I29" s="345">
        <v>43726</v>
      </c>
      <c r="J29" s="130">
        <v>200</v>
      </c>
      <c r="K29" s="130">
        <v>2</v>
      </c>
      <c r="L29" s="130">
        <v>2</v>
      </c>
      <c r="M29" s="344">
        <v>0.1</v>
      </c>
      <c r="N29" s="130">
        <v>0.1</v>
      </c>
      <c r="O29" s="533">
        <f t="shared" ref="O29:O88" si="2">J29+(M29)/1000</f>
        <v>200.0001</v>
      </c>
      <c r="P29" s="142">
        <f t="shared" si="0"/>
        <v>200.0001</v>
      </c>
      <c r="Q29" s="534">
        <f t="shared" si="1"/>
        <v>0</v>
      </c>
      <c r="R29" s="132">
        <v>0.33</v>
      </c>
      <c r="S29" s="131">
        <f t="shared" ref="S29:S32" si="3">(0.34848*((752.6+754.7)/2)-0.009024*((44.6+52.7)/2)*EXP(0.0612*((20.5+21)/2)))/(273.15+((20.5+21)/2))</f>
        <v>0.88829136227968475</v>
      </c>
      <c r="T29" s="130" t="s">
        <v>197</v>
      </c>
      <c r="U29" s="675" t="s">
        <v>248</v>
      </c>
      <c r="V29" s="1056"/>
      <c r="AS29" s="67"/>
    </row>
    <row r="30" spans="2:46" ht="30" customHeight="1" x14ac:dyDescent="0.2">
      <c r="B30" s="1027"/>
      <c r="C30" s="141" t="s">
        <v>338</v>
      </c>
      <c r="D30" s="130" t="s">
        <v>192</v>
      </c>
      <c r="E30" s="130" t="s">
        <v>174</v>
      </c>
      <c r="F30" s="130">
        <v>27696</v>
      </c>
      <c r="G30" s="130" t="s">
        <v>175</v>
      </c>
      <c r="H30" s="130">
        <v>1519</v>
      </c>
      <c r="I30" s="345">
        <v>43726</v>
      </c>
      <c r="J30" s="130">
        <v>1000</v>
      </c>
      <c r="K30" s="130">
        <v>5</v>
      </c>
      <c r="L30" s="130">
        <v>5</v>
      </c>
      <c r="M30" s="344">
        <v>-0.5</v>
      </c>
      <c r="N30" s="130">
        <v>-0.6</v>
      </c>
      <c r="O30" s="533">
        <f t="shared" si="2"/>
        <v>999.99950000000001</v>
      </c>
      <c r="P30" s="259">
        <f t="shared" si="0"/>
        <v>999.99940000000004</v>
      </c>
      <c r="Q30" s="336">
        <f t="shared" si="1"/>
        <v>-5.7735026904469904E-2</v>
      </c>
      <c r="R30" s="132">
        <v>1.6</v>
      </c>
      <c r="S30" s="131">
        <f t="shared" si="3"/>
        <v>0.88829136227968475</v>
      </c>
      <c r="T30" s="130" t="s">
        <v>197</v>
      </c>
      <c r="U30" s="675" t="s">
        <v>248</v>
      </c>
      <c r="V30" s="1056"/>
      <c r="AS30" s="67"/>
    </row>
    <row r="31" spans="2:46" ht="30" customHeight="1" x14ac:dyDescent="0.2">
      <c r="B31" s="1027"/>
      <c r="C31" s="141" t="s">
        <v>339</v>
      </c>
      <c r="D31" s="130" t="s">
        <v>192</v>
      </c>
      <c r="E31" s="130" t="s">
        <v>174</v>
      </c>
      <c r="F31" s="130">
        <v>27696</v>
      </c>
      <c r="G31" s="130" t="s">
        <v>175</v>
      </c>
      <c r="H31" s="130">
        <v>1519</v>
      </c>
      <c r="I31" s="345">
        <v>43726</v>
      </c>
      <c r="J31" s="130">
        <v>2000</v>
      </c>
      <c r="K31" s="130">
        <v>10</v>
      </c>
      <c r="L31" s="130">
        <v>10</v>
      </c>
      <c r="M31" s="344">
        <v>3.6</v>
      </c>
      <c r="N31" s="130">
        <v>3.5</v>
      </c>
      <c r="O31" s="533">
        <f t="shared" si="2"/>
        <v>2000.0036</v>
      </c>
      <c r="P31" s="259">
        <f t="shared" si="0"/>
        <v>2000.0035</v>
      </c>
      <c r="Q31" s="336">
        <f t="shared" si="1"/>
        <v>-5.7735026904469904E-2</v>
      </c>
      <c r="R31" s="132">
        <v>3</v>
      </c>
      <c r="S31" s="131">
        <f t="shared" si="3"/>
        <v>0.88829136227968475</v>
      </c>
      <c r="T31" s="130" t="s">
        <v>197</v>
      </c>
      <c r="U31" s="675" t="s">
        <v>248</v>
      </c>
      <c r="V31" s="1056"/>
      <c r="AS31" s="67"/>
    </row>
    <row r="32" spans="2:46" ht="30" customHeight="1" thickBot="1" x14ac:dyDescent="0.25">
      <c r="B32" s="1028"/>
      <c r="C32" s="143" t="s">
        <v>340</v>
      </c>
      <c r="D32" s="134" t="s">
        <v>192</v>
      </c>
      <c r="E32" s="134" t="s">
        <v>174</v>
      </c>
      <c r="F32" s="134">
        <v>27696</v>
      </c>
      <c r="G32" s="134" t="s">
        <v>175</v>
      </c>
      <c r="H32" s="134">
        <v>1519</v>
      </c>
      <c r="I32" s="349">
        <v>43726</v>
      </c>
      <c r="J32" s="134">
        <v>5000</v>
      </c>
      <c r="K32" s="134">
        <v>20</v>
      </c>
      <c r="L32" s="134">
        <v>20</v>
      </c>
      <c r="M32" s="413">
        <v>3.7</v>
      </c>
      <c r="N32" s="134">
        <v>3.6</v>
      </c>
      <c r="O32" s="536">
        <f t="shared" si="2"/>
        <v>5000.0037000000002</v>
      </c>
      <c r="P32" s="537">
        <f t="shared" si="0"/>
        <v>5000.0036</v>
      </c>
      <c r="Q32" s="416">
        <f t="shared" si="1"/>
        <v>-5.7735027035744159E-2</v>
      </c>
      <c r="R32" s="144">
        <v>8</v>
      </c>
      <c r="S32" s="135">
        <f t="shared" si="3"/>
        <v>0.88829136227968475</v>
      </c>
      <c r="T32" s="134" t="s">
        <v>197</v>
      </c>
      <c r="U32" s="676" t="s">
        <v>248</v>
      </c>
      <c r="V32" s="1057"/>
      <c r="AS32" s="67"/>
    </row>
    <row r="33" spans="2:45" ht="30" customHeight="1" thickBot="1" x14ac:dyDescent="0.25">
      <c r="B33" s="76"/>
      <c r="C33" s="143" t="s">
        <v>454</v>
      </c>
      <c r="D33" s="524"/>
      <c r="E33" s="524"/>
      <c r="F33" s="524"/>
      <c r="G33" s="524"/>
      <c r="H33" s="524"/>
      <c r="I33" s="529"/>
      <c r="J33" s="524">
        <v>8200</v>
      </c>
      <c r="K33" s="524">
        <v>50</v>
      </c>
      <c r="L33" s="524">
        <v>50</v>
      </c>
      <c r="M33" s="524">
        <f>M32+M31+M30+M29</f>
        <v>6.9</v>
      </c>
      <c r="N33" s="524">
        <f>N32+N31+N30+N29</f>
        <v>6.6</v>
      </c>
      <c r="O33" s="705">
        <f t="shared" ref="O33" si="4">J33+(M33)/1000</f>
        <v>8200.0069000000003</v>
      </c>
      <c r="P33" s="706">
        <f t="shared" si="0"/>
        <v>8200.0066000000006</v>
      </c>
      <c r="Q33" s="707">
        <f t="shared" si="1"/>
        <v>-0.17320508058213546</v>
      </c>
      <c r="R33" s="524"/>
      <c r="S33" s="524"/>
      <c r="T33" s="524"/>
      <c r="U33" s="677"/>
      <c r="V33" s="708"/>
      <c r="AS33" s="67"/>
    </row>
    <row r="34" spans="2:45" ht="30" customHeight="1" x14ac:dyDescent="0.2">
      <c r="B34" s="76"/>
      <c r="C34" s="684"/>
      <c r="D34" s="512"/>
      <c r="E34" s="512"/>
      <c r="F34" s="512"/>
      <c r="G34" s="512"/>
      <c r="H34" s="512"/>
      <c r="I34" s="527"/>
      <c r="J34" s="512"/>
      <c r="K34" s="512">
        <v>100</v>
      </c>
      <c r="L34" s="512">
        <v>100</v>
      </c>
      <c r="M34" s="512"/>
      <c r="N34" s="512"/>
      <c r="O34" s="535"/>
      <c r="P34" s="528"/>
      <c r="Q34" s="512"/>
      <c r="R34" s="512"/>
      <c r="S34" s="512"/>
      <c r="T34" s="512"/>
      <c r="U34" s="678"/>
      <c r="V34" s="683"/>
      <c r="AS34" s="67"/>
    </row>
    <row r="35" spans="2:45" ht="30" customHeight="1" x14ac:dyDescent="0.2">
      <c r="B35" s="76"/>
      <c r="C35" s="684"/>
      <c r="D35" s="512"/>
      <c r="E35" s="512"/>
      <c r="F35" s="512"/>
      <c r="G35" s="512"/>
      <c r="H35" s="512"/>
      <c r="I35" s="527"/>
      <c r="J35" s="512"/>
      <c r="K35" s="512">
        <v>200</v>
      </c>
      <c r="L35" s="512">
        <v>200</v>
      </c>
      <c r="M35" s="512"/>
      <c r="N35" s="512"/>
      <c r="O35" s="535"/>
      <c r="P35" s="528"/>
      <c r="Q35" s="512"/>
      <c r="R35" s="512"/>
      <c r="S35" s="512"/>
      <c r="T35" s="512"/>
      <c r="U35" s="678"/>
      <c r="V35" s="683"/>
      <c r="AS35" s="67"/>
    </row>
    <row r="36" spans="2:45" ht="30" customHeight="1" x14ac:dyDescent="0.2">
      <c r="B36" s="76"/>
      <c r="C36" s="684"/>
      <c r="D36" s="512"/>
      <c r="E36" s="512"/>
      <c r="F36" s="512"/>
      <c r="G36" s="512"/>
      <c r="H36" s="512"/>
      <c r="I36" s="527"/>
      <c r="J36" s="512"/>
      <c r="K36" s="512">
        <v>500</v>
      </c>
      <c r="L36" s="512">
        <v>500</v>
      </c>
      <c r="M36" s="512"/>
      <c r="N36" s="512"/>
      <c r="O36" s="535"/>
      <c r="P36" s="528"/>
      <c r="Q36" s="512"/>
      <c r="R36" s="512"/>
      <c r="S36" s="512"/>
      <c r="T36" s="512"/>
      <c r="U36" s="678"/>
      <c r="V36" s="683"/>
      <c r="AS36" s="67"/>
    </row>
    <row r="37" spans="2:45" ht="30" customHeight="1" thickBot="1" x14ac:dyDescent="0.25">
      <c r="B37" s="67"/>
      <c r="C37" s="685"/>
      <c r="D37" s="526"/>
      <c r="E37" s="526"/>
      <c r="F37" s="526"/>
      <c r="G37" s="526"/>
      <c r="H37" s="526"/>
      <c r="I37" s="526"/>
      <c r="J37" s="526"/>
      <c r="K37" s="530">
        <v>1000</v>
      </c>
      <c r="L37" s="531">
        <v>1000</v>
      </c>
      <c r="M37" s="526"/>
      <c r="N37" s="526"/>
      <c r="O37" s="538"/>
      <c r="P37" s="526"/>
      <c r="Q37" s="526"/>
      <c r="R37" s="526"/>
      <c r="S37" s="532"/>
      <c r="T37" s="526"/>
      <c r="U37" s="679"/>
      <c r="V37" s="715"/>
      <c r="AS37" s="67"/>
    </row>
    <row r="38" spans="2:45" ht="30" customHeight="1" x14ac:dyDescent="0.2">
      <c r="B38" s="1036"/>
      <c r="C38" s="136" t="s">
        <v>116</v>
      </c>
      <c r="D38" s="137" t="s">
        <v>117</v>
      </c>
      <c r="E38" s="137" t="s">
        <v>104</v>
      </c>
      <c r="F38" s="137">
        <v>27129360</v>
      </c>
      <c r="G38" s="137" t="s">
        <v>118</v>
      </c>
      <c r="H38" s="137">
        <v>1393</v>
      </c>
      <c r="I38" s="350">
        <v>43228</v>
      </c>
      <c r="J38" s="137">
        <v>1</v>
      </c>
      <c r="K38" s="351">
        <v>2000</v>
      </c>
      <c r="L38" s="137">
        <v>2000</v>
      </c>
      <c r="M38" s="334">
        <v>6.0000000000000001E-3</v>
      </c>
      <c r="N38" s="137">
        <v>8.9999999999999993E-3</v>
      </c>
      <c r="O38" s="523">
        <f t="shared" si="2"/>
        <v>1.000006</v>
      </c>
      <c r="P38" s="138">
        <f t="shared" ref="P38:P69" si="5">J38+(N38)/1000</f>
        <v>1.0000089999999999</v>
      </c>
      <c r="Q38" s="334">
        <f t="shared" ref="Q38:Q69" si="6">(P38-O38)/SQRT(3)*1000</f>
        <v>1.732050807554585E-3</v>
      </c>
      <c r="R38" s="145">
        <v>0.01</v>
      </c>
      <c r="S38" s="140">
        <f>(0.34848*((751.2+755.4)/2)-0.009024*((48.4+57.9)/2)*EXP(0.0612*((19.5+20.7)/2)))/(273.15+((19.5+20.7)/2))</f>
        <v>0.88957844095478944</v>
      </c>
      <c r="T38" s="137" t="s">
        <v>119</v>
      </c>
      <c r="U38" s="674" t="s">
        <v>201</v>
      </c>
      <c r="V38" s="1058">
        <v>2</v>
      </c>
      <c r="AS38" s="67"/>
    </row>
    <row r="39" spans="2:45" ht="30" customHeight="1" x14ac:dyDescent="0.2">
      <c r="B39" s="1034"/>
      <c r="C39" s="141" t="s">
        <v>120</v>
      </c>
      <c r="D39" s="130" t="s">
        <v>117</v>
      </c>
      <c r="E39" s="130" t="s">
        <v>104</v>
      </c>
      <c r="F39" s="130">
        <v>27129360</v>
      </c>
      <c r="G39" s="130" t="s">
        <v>121</v>
      </c>
      <c r="H39" s="130">
        <v>1393</v>
      </c>
      <c r="I39" s="345">
        <v>43228</v>
      </c>
      <c r="J39" s="130">
        <v>2</v>
      </c>
      <c r="K39" s="346">
        <v>4000</v>
      </c>
      <c r="L39" s="130">
        <v>5000</v>
      </c>
      <c r="M39" s="344">
        <v>6.0000000000000001E-3</v>
      </c>
      <c r="N39" s="147">
        <v>0.01</v>
      </c>
      <c r="O39" s="521">
        <f t="shared" si="2"/>
        <v>2.000006</v>
      </c>
      <c r="P39" s="146">
        <f t="shared" si="5"/>
        <v>2.0000100000000001</v>
      </c>
      <c r="Q39" s="344">
        <f t="shared" si="6"/>
        <v>2.3094010768249114E-3</v>
      </c>
      <c r="R39" s="130">
        <v>1.2E-2</v>
      </c>
      <c r="S39" s="131">
        <f>(0.34848*((751.2+755.4)/2)-0.009024*((48.4+57.9)/2)*EXP(0.0612*((19.5+20.7)/2)))/(273.15+((19.5+20.7)/2))</f>
        <v>0.88957844095478944</v>
      </c>
      <c r="T39" s="130" t="str">
        <f t="shared" ref="T39:T54" si="7">T38</f>
        <v>M-001</v>
      </c>
      <c r="U39" s="675" t="s">
        <v>201</v>
      </c>
      <c r="V39" s="1059"/>
      <c r="AS39" s="67"/>
    </row>
    <row r="40" spans="2:45" ht="30" customHeight="1" x14ac:dyDescent="0.2">
      <c r="B40" s="1034"/>
      <c r="C40" s="141" t="s">
        <v>277</v>
      </c>
      <c r="D40" s="130" t="s">
        <v>117</v>
      </c>
      <c r="E40" s="130" t="s">
        <v>104</v>
      </c>
      <c r="F40" s="130">
        <v>27129360</v>
      </c>
      <c r="G40" s="130" t="s">
        <v>122</v>
      </c>
      <c r="H40" s="130">
        <v>1393</v>
      </c>
      <c r="I40" s="345">
        <v>43228</v>
      </c>
      <c r="J40" s="130">
        <v>2</v>
      </c>
      <c r="K40" s="346">
        <v>5000</v>
      </c>
      <c r="L40" s="130">
        <v>8000</v>
      </c>
      <c r="M40" s="344">
        <v>1.2999999999999999E-2</v>
      </c>
      <c r="N40" s="130">
        <v>1.7000000000000001E-2</v>
      </c>
      <c r="O40" s="521">
        <f t="shared" si="2"/>
        <v>2.000013</v>
      </c>
      <c r="P40" s="146">
        <f t="shared" si="5"/>
        <v>2.0000170000000002</v>
      </c>
      <c r="Q40" s="344">
        <f t="shared" si="6"/>
        <v>2.3094010768249114E-3</v>
      </c>
      <c r="R40" s="130">
        <v>1.2E-2</v>
      </c>
      <c r="S40" s="131">
        <f>(0.34848*((751.2+755.4)/2)-0.009024*((48.4+57.9)/2)*EXP(0.0612*((19.5+20.7)/2)))/(273.15+((19.5+20.7)/2))</f>
        <v>0.88957844095478944</v>
      </c>
      <c r="T40" s="130" t="str">
        <f t="shared" si="7"/>
        <v>M-001</v>
      </c>
      <c r="U40" s="675" t="s">
        <v>201</v>
      </c>
      <c r="V40" s="1059"/>
      <c r="AS40" s="67"/>
    </row>
    <row r="41" spans="2:45" ht="30" customHeight="1" x14ac:dyDescent="0.2">
      <c r="B41" s="1034"/>
      <c r="C41" s="141" t="s">
        <v>123</v>
      </c>
      <c r="D41" s="130" t="s">
        <v>117</v>
      </c>
      <c r="E41" s="130" t="s">
        <v>104</v>
      </c>
      <c r="F41" s="130">
        <v>27129360</v>
      </c>
      <c r="G41" s="130" t="s">
        <v>124</v>
      </c>
      <c r="H41" s="130">
        <v>1393</v>
      </c>
      <c r="I41" s="345">
        <v>43228</v>
      </c>
      <c r="J41" s="130">
        <v>5</v>
      </c>
      <c r="K41" s="346">
        <v>10000</v>
      </c>
      <c r="L41" s="130">
        <v>8200</v>
      </c>
      <c r="M41" s="344">
        <v>-2E-3</v>
      </c>
      <c r="N41" s="147">
        <v>2E-3</v>
      </c>
      <c r="O41" s="521">
        <f t="shared" si="2"/>
        <v>4.9999979999999997</v>
      </c>
      <c r="P41" s="146">
        <f t="shared" si="5"/>
        <v>5.0000020000000003</v>
      </c>
      <c r="Q41" s="344">
        <f t="shared" si="6"/>
        <v>2.3094010770813066E-3</v>
      </c>
      <c r="R41" s="130">
        <v>1.6E-2</v>
      </c>
      <c r="S41" s="131">
        <f>(0.34848*((751.2+755.4)/2)-0.009024*((48.4+57.9)/2)*EXP(0.0612*((19.5+20.7)/2)))/(273.15+((19.5+20.7)/2))</f>
        <v>0.88957844095478944</v>
      </c>
      <c r="T41" s="130" t="str">
        <f t="shared" si="7"/>
        <v>M-001</v>
      </c>
      <c r="U41" s="675" t="s">
        <v>201</v>
      </c>
      <c r="V41" s="1059"/>
      <c r="AS41" s="67"/>
    </row>
    <row r="42" spans="2:45" ht="30" customHeight="1" x14ac:dyDescent="0.2">
      <c r="B42" s="1034"/>
      <c r="C42" s="141" t="s">
        <v>125</v>
      </c>
      <c r="D42" s="130" t="s">
        <v>117</v>
      </c>
      <c r="E42" s="130" t="s">
        <v>104</v>
      </c>
      <c r="F42" s="130">
        <v>27129360</v>
      </c>
      <c r="G42" s="130" t="s">
        <v>126</v>
      </c>
      <c r="H42" s="130">
        <v>1393</v>
      </c>
      <c r="I42" s="345">
        <v>43228</v>
      </c>
      <c r="J42" s="130">
        <v>10</v>
      </c>
      <c r="K42" s="346">
        <v>15000</v>
      </c>
      <c r="L42" s="130">
        <v>10000</v>
      </c>
      <c r="M42" s="344">
        <v>4.0000000000000001E-3</v>
      </c>
      <c r="N42" s="130">
        <v>1.9E-2</v>
      </c>
      <c r="O42" s="521">
        <f t="shared" si="2"/>
        <v>10.000004000000001</v>
      </c>
      <c r="P42" s="146">
        <f t="shared" si="5"/>
        <v>10.000019</v>
      </c>
      <c r="Q42" s="344">
        <f t="shared" si="6"/>
        <v>8.660254037516529E-3</v>
      </c>
      <c r="R42" s="147">
        <v>0.02</v>
      </c>
      <c r="S42" s="131">
        <f t="shared" ref="S42:S54" si="8">(0.34848*((751.2+755.4)/2)-0.009024*((48.4+57.9)/2)*EXP(0.0612*((19.5+20.7)/2)))/(273.15+((19.5+20.7)/2))</f>
        <v>0.88957844095478944</v>
      </c>
      <c r="T42" s="130" t="str">
        <f t="shared" si="7"/>
        <v>M-001</v>
      </c>
      <c r="U42" s="675" t="s">
        <v>201</v>
      </c>
      <c r="V42" s="1059"/>
      <c r="AS42" s="67"/>
    </row>
    <row r="43" spans="2:45" ht="30" customHeight="1" x14ac:dyDescent="0.2">
      <c r="B43" s="1034"/>
      <c r="C43" s="141" t="s">
        <v>127</v>
      </c>
      <c r="D43" s="130" t="s">
        <v>117</v>
      </c>
      <c r="E43" s="130" t="s">
        <v>104</v>
      </c>
      <c r="F43" s="130">
        <v>27129360</v>
      </c>
      <c r="G43" s="130" t="s">
        <v>128</v>
      </c>
      <c r="H43" s="130">
        <v>1393</v>
      </c>
      <c r="I43" s="345">
        <v>43228</v>
      </c>
      <c r="J43" s="130">
        <v>20</v>
      </c>
      <c r="K43" s="346">
        <v>20000</v>
      </c>
      <c r="L43" s="130">
        <v>15000</v>
      </c>
      <c r="M43" s="344">
        <v>2.7E-2</v>
      </c>
      <c r="N43" s="130">
        <v>2.5999999999999999E-2</v>
      </c>
      <c r="O43" s="521">
        <f t="shared" si="2"/>
        <v>20.000026999999999</v>
      </c>
      <c r="P43" s="146">
        <f t="shared" si="5"/>
        <v>20.000025999999998</v>
      </c>
      <c r="Q43" s="344">
        <f t="shared" si="6"/>
        <v>-5.7735026978311666E-4</v>
      </c>
      <c r="R43" s="130">
        <v>2.5000000000000001E-2</v>
      </c>
      <c r="S43" s="131">
        <f t="shared" si="8"/>
        <v>0.88957844095478944</v>
      </c>
      <c r="T43" s="130" t="str">
        <f t="shared" si="7"/>
        <v>M-001</v>
      </c>
      <c r="U43" s="675" t="s">
        <v>201</v>
      </c>
      <c r="V43" s="1059"/>
      <c r="AS43" s="67"/>
    </row>
    <row r="44" spans="2:45" ht="30" customHeight="1" x14ac:dyDescent="0.2">
      <c r="B44" s="1034"/>
      <c r="C44" s="141" t="s">
        <v>278</v>
      </c>
      <c r="D44" s="130" t="s">
        <v>117</v>
      </c>
      <c r="E44" s="130" t="s">
        <v>104</v>
      </c>
      <c r="F44" s="130">
        <v>27129360</v>
      </c>
      <c r="G44" s="130" t="s">
        <v>129</v>
      </c>
      <c r="H44" s="130">
        <v>1393</v>
      </c>
      <c r="I44" s="345">
        <v>43228</v>
      </c>
      <c r="J44" s="130">
        <v>20</v>
      </c>
      <c r="K44" s="346">
        <v>25000</v>
      </c>
      <c r="L44" s="130">
        <v>20000</v>
      </c>
      <c r="M44" s="344">
        <v>7.0000000000000001E-3</v>
      </c>
      <c r="N44" s="130">
        <v>7.0000000000000001E-3</v>
      </c>
      <c r="O44" s="521">
        <f t="shared" si="2"/>
        <v>20.000007</v>
      </c>
      <c r="P44" s="146">
        <f t="shared" si="5"/>
        <v>20.000007</v>
      </c>
      <c r="Q44" s="344">
        <f t="shared" si="6"/>
        <v>0</v>
      </c>
      <c r="R44" s="130">
        <v>2.5000000000000001E-2</v>
      </c>
      <c r="S44" s="131">
        <f t="shared" si="8"/>
        <v>0.88957844095478944</v>
      </c>
      <c r="T44" s="130" t="str">
        <f t="shared" si="7"/>
        <v>M-001</v>
      </c>
      <c r="U44" s="675" t="s">
        <v>201</v>
      </c>
      <c r="V44" s="1059"/>
      <c r="AS44" s="67"/>
    </row>
    <row r="45" spans="2:45" ht="30" customHeight="1" x14ac:dyDescent="0.2">
      <c r="B45" s="1034"/>
      <c r="C45" s="141" t="s">
        <v>130</v>
      </c>
      <c r="D45" s="130" t="s">
        <v>117</v>
      </c>
      <c r="E45" s="130" t="s">
        <v>104</v>
      </c>
      <c r="F45" s="130">
        <v>27129360</v>
      </c>
      <c r="G45" s="130" t="s">
        <v>131</v>
      </c>
      <c r="H45" s="130">
        <v>1393</v>
      </c>
      <c r="I45" s="345">
        <v>43228</v>
      </c>
      <c r="J45" s="130">
        <v>50</v>
      </c>
      <c r="K45" s="346">
        <v>30000</v>
      </c>
      <c r="L45" s="130">
        <v>25000</v>
      </c>
      <c r="M45" s="344">
        <v>0.03</v>
      </c>
      <c r="N45" s="130">
        <v>0.03</v>
      </c>
      <c r="O45" s="521">
        <f t="shared" si="2"/>
        <v>50.000030000000002</v>
      </c>
      <c r="P45" s="142">
        <f t="shared" si="5"/>
        <v>50.000030000000002</v>
      </c>
      <c r="Q45" s="344">
        <f t="shared" si="6"/>
        <v>0</v>
      </c>
      <c r="R45" s="130">
        <v>0.03</v>
      </c>
      <c r="S45" s="131">
        <f t="shared" si="8"/>
        <v>0.88957844095478944</v>
      </c>
      <c r="T45" s="130" t="str">
        <f t="shared" si="7"/>
        <v>M-001</v>
      </c>
      <c r="U45" s="675" t="s">
        <v>201</v>
      </c>
      <c r="V45" s="1059"/>
      <c r="AS45" s="67"/>
    </row>
    <row r="46" spans="2:45" ht="30" customHeight="1" x14ac:dyDescent="0.2">
      <c r="B46" s="1034"/>
      <c r="C46" s="141" t="s">
        <v>132</v>
      </c>
      <c r="D46" s="130" t="s">
        <v>117</v>
      </c>
      <c r="E46" s="130" t="s">
        <v>104</v>
      </c>
      <c r="F46" s="130">
        <v>27129360</v>
      </c>
      <c r="G46" s="130" t="s">
        <v>133</v>
      </c>
      <c r="H46" s="130">
        <v>1393</v>
      </c>
      <c r="I46" s="345">
        <v>43228</v>
      </c>
      <c r="J46" s="130">
        <v>100</v>
      </c>
      <c r="K46" s="346">
        <v>35000</v>
      </c>
      <c r="L46" s="347">
        <v>35000</v>
      </c>
      <c r="M46" s="344">
        <v>0.06</v>
      </c>
      <c r="N46" s="130">
        <v>0.06</v>
      </c>
      <c r="O46" s="521">
        <f t="shared" si="2"/>
        <v>100.00006</v>
      </c>
      <c r="P46" s="142">
        <f t="shared" si="5"/>
        <v>100.00006</v>
      </c>
      <c r="Q46" s="344">
        <f t="shared" si="6"/>
        <v>0</v>
      </c>
      <c r="R46" s="130">
        <v>0.05</v>
      </c>
      <c r="S46" s="131">
        <f t="shared" si="8"/>
        <v>0.88957844095478944</v>
      </c>
      <c r="T46" s="130" t="str">
        <f t="shared" si="7"/>
        <v>M-001</v>
      </c>
      <c r="U46" s="675" t="s">
        <v>201</v>
      </c>
      <c r="V46" s="1059"/>
      <c r="AS46" s="67"/>
    </row>
    <row r="47" spans="2:45" ht="30" customHeight="1" x14ac:dyDescent="0.2">
      <c r="B47" s="1034"/>
      <c r="C47" s="141" t="s">
        <v>134</v>
      </c>
      <c r="D47" s="130" t="s">
        <v>117</v>
      </c>
      <c r="E47" s="130" t="s">
        <v>104</v>
      </c>
      <c r="F47" s="130">
        <v>27129360</v>
      </c>
      <c r="G47" s="130" t="s">
        <v>135</v>
      </c>
      <c r="H47" s="130">
        <v>1393</v>
      </c>
      <c r="I47" s="345">
        <v>43228</v>
      </c>
      <c r="J47" s="130">
        <v>200</v>
      </c>
      <c r="K47" s="346">
        <v>40000</v>
      </c>
      <c r="L47" s="347">
        <v>40000</v>
      </c>
      <c r="M47" s="344">
        <v>-0.06</v>
      </c>
      <c r="N47" s="130">
        <v>-7.0000000000000007E-2</v>
      </c>
      <c r="O47" s="521">
        <f t="shared" si="2"/>
        <v>199.99994000000001</v>
      </c>
      <c r="P47" s="142">
        <f t="shared" si="5"/>
        <v>199.99993000000001</v>
      </c>
      <c r="Q47" s="344">
        <f t="shared" si="6"/>
        <v>-5.7735026937288467E-3</v>
      </c>
      <c r="R47" s="133">
        <v>0.1</v>
      </c>
      <c r="S47" s="131">
        <f t="shared" si="8"/>
        <v>0.88957844095478944</v>
      </c>
      <c r="T47" s="130" t="str">
        <f t="shared" si="7"/>
        <v>M-001</v>
      </c>
      <c r="U47" s="675" t="s">
        <v>201</v>
      </c>
      <c r="V47" s="1059"/>
      <c r="AS47" s="67"/>
    </row>
    <row r="48" spans="2:45" ht="30" customHeight="1" x14ac:dyDescent="0.2">
      <c r="B48" s="1034"/>
      <c r="C48" s="141" t="s">
        <v>279</v>
      </c>
      <c r="D48" s="130" t="s">
        <v>117</v>
      </c>
      <c r="E48" s="130" t="s">
        <v>104</v>
      </c>
      <c r="F48" s="130">
        <v>27129360</v>
      </c>
      <c r="G48" s="130" t="s">
        <v>136</v>
      </c>
      <c r="H48" s="130">
        <v>1393</v>
      </c>
      <c r="I48" s="345">
        <v>43228</v>
      </c>
      <c r="J48" s="130">
        <v>200</v>
      </c>
      <c r="K48" s="346"/>
      <c r="L48" s="347">
        <v>45000</v>
      </c>
      <c r="M48" s="344">
        <v>0.16</v>
      </c>
      <c r="N48" s="130">
        <v>0.15</v>
      </c>
      <c r="O48" s="521">
        <f t="shared" si="2"/>
        <v>200.00015999999999</v>
      </c>
      <c r="P48" s="142">
        <f t="shared" si="5"/>
        <v>200.00014999999999</v>
      </c>
      <c r="Q48" s="344">
        <f t="shared" si="6"/>
        <v>-5.7735026937288467E-3</v>
      </c>
      <c r="R48" s="133">
        <v>0.1</v>
      </c>
      <c r="S48" s="131">
        <f t="shared" si="8"/>
        <v>0.88957844095478944</v>
      </c>
      <c r="T48" s="130" t="str">
        <f t="shared" si="7"/>
        <v>M-001</v>
      </c>
      <c r="U48" s="675" t="s">
        <v>201</v>
      </c>
      <c r="V48" s="1059"/>
      <c r="AS48" s="67"/>
    </row>
    <row r="49" spans="2:48" ht="30" customHeight="1" x14ac:dyDescent="0.2">
      <c r="B49" s="1034"/>
      <c r="C49" s="141" t="s">
        <v>137</v>
      </c>
      <c r="D49" s="130" t="s">
        <v>117</v>
      </c>
      <c r="E49" s="130" t="s">
        <v>104</v>
      </c>
      <c r="F49" s="130">
        <v>27129360</v>
      </c>
      <c r="G49" s="130" t="s">
        <v>138</v>
      </c>
      <c r="H49" s="130">
        <v>1393</v>
      </c>
      <c r="I49" s="345">
        <v>43228</v>
      </c>
      <c r="J49" s="130">
        <v>500</v>
      </c>
      <c r="K49" s="346"/>
      <c r="L49" s="347">
        <v>50000</v>
      </c>
      <c r="M49" s="344">
        <v>0.35</v>
      </c>
      <c r="N49" s="130">
        <v>0.33</v>
      </c>
      <c r="O49" s="521">
        <f t="shared" si="2"/>
        <v>500.00035000000003</v>
      </c>
      <c r="P49" s="142">
        <f t="shared" si="5"/>
        <v>500.00033000000002</v>
      </c>
      <c r="Q49" s="344">
        <f t="shared" si="6"/>
        <v>-1.1547005387457693E-2</v>
      </c>
      <c r="R49" s="130">
        <v>0.25</v>
      </c>
      <c r="S49" s="131">
        <f t="shared" si="8"/>
        <v>0.88957844095478944</v>
      </c>
      <c r="T49" s="130" t="str">
        <f t="shared" si="7"/>
        <v>M-001</v>
      </c>
      <c r="U49" s="675" t="s">
        <v>201</v>
      </c>
      <c r="V49" s="1059"/>
      <c r="AS49" s="67"/>
    </row>
    <row r="50" spans="2:48" ht="30" customHeight="1" x14ac:dyDescent="0.2">
      <c r="B50" s="1034"/>
      <c r="C50" s="141" t="s">
        <v>139</v>
      </c>
      <c r="D50" s="130" t="s">
        <v>117</v>
      </c>
      <c r="E50" s="130" t="s">
        <v>104</v>
      </c>
      <c r="F50" s="130">
        <v>27129360</v>
      </c>
      <c r="G50" s="130" t="s">
        <v>140</v>
      </c>
      <c r="H50" s="130">
        <v>1393</v>
      </c>
      <c r="I50" s="345">
        <v>43228</v>
      </c>
      <c r="J50" s="346">
        <v>1000</v>
      </c>
      <c r="K50" s="348"/>
      <c r="L50" s="347">
        <v>55000</v>
      </c>
      <c r="M50" s="344">
        <v>0.7</v>
      </c>
      <c r="N50" s="130">
        <v>0.7</v>
      </c>
      <c r="O50" s="521">
        <f t="shared" si="2"/>
        <v>1000.0007000000001</v>
      </c>
      <c r="P50" s="131">
        <f t="shared" si="5"/>
        <v>1000.0007000000001</v>
      </c>
      <c r="Q50" s="344">
        <f t="shared" si="6"/>
        <v>0</v>
      </c>
      <c r="R50" s="130">
        <v>0.5</v>
      </c>
      <c r="S50" s="131">
        <f t="shared" si="8"/>
        <v>0.88957844095478944</v>
      </c>
      <c r="T50" s="130" t="str">
        <f t="shared" si="7"/>
        <v>M-001</v>
      </c>
      <c r="U50" s="675" t="s">
        <v>201</v>
      </c>
      <c r="V50" s="1059"/>
      <c r="AS50" s="67"/>
    </row>
    <row r="51" spans="2:48" ht="30" customHeight="1" x14ac:dyDescent="0.2">
      <c r="B51" s="1034"/>
      <c r="C51" s="141" t="s">
        <v>141</v>
      </c>
      <c r="D51" s="130" t="s">
        <v>117</v>
      </c>
      <c r="E51" s="130" t="s">
        <v>104</v>
      </c>
      <c r="F51" s="130">
        <v>27129360</v>
      </c>
      <c r="G51" s="130" t="s">
        <v>142</v>
      </c>
      <c r="H51" s="130">
        <v>1393</v>
      </c>
      <c r="I51" s="345">
        <v>43228</v>
      </c>
      <c r="J51" s="346">
        <v>2000</v>
      </c>
      <c r="K51" s="348"/>
      <c r="L51" s="347"/>
      <c r="M51" s="344">
        <v>1.2</v>
      </c>
      <c r="N51" s="130">
        <v>1.1000000000000001</v>
      </c>
      <c r="O51" s="521">
        <f t="shared" si="2"/>
        <v>2000.0011999999999</v>
      </c>
      <c r="P51" s="131">
        <f t="shared" si="5"/>
        <v>2000.0011</v>
      </c>
      <c r="Q51" s="344">
        <f t="shared" si="6"/>
        <v>-5.7735026904469904E-2</v>
      </c>
      <c r="R51" s="132">
        <v>1</v>
      </c>
      <c r="S51" s="131">
        <f t="shared" si="8"/>
        <v>0.88957844095478944</v>
      </c>
      <c r="T51" s="130" t="str">
        <f t="shared" si="7"/>
        <v>M-001</v>
      </c>
      <c r="U51" s="675" t="s">
        <v>201</v>
      </c>
      <c r="V51" s="1059"/>
      <c r="AS51" s="67"/>
    </row>
    <row r="52" spans="2:48" ht="30" customHeight="1" x14ac:dyDescent="0.2">
      <c r="B52" s="1034"/>
      <c r="C52" s="141" t="s">
        <v>280</v>
      </c>
      <c r="D52" s="130" t="s">
        <v>117</v>
      </c>
      <c r="E52" s="130" t="s">
        <v>104</v>
      </c>
      <c r="F52" s="130">
        <v>27129360</v>
      </c>
      <c r="G52" s="130" t="s">
        <v>143</v>
      </c>
      <c r="H52" s="130">
        <v>1393</v>
      </c>
      <c r="I52" s="345">
        <v>43228</v>
      </c>
      <c r="J52" s="346">
        <v>2000</v>
      </c>
      <c r="K52" s="347"/>
      <c r="L52" s="347"/>
      <c r="M52" s="344">
        <v>1.1000000000000001</v>
      </c>
      <c r="N52" s="132">
        <v>1</v>
      </c>
      <c r="O52" s="521">
        <f t="shared" si="2"/>
        <v>2000.0011</v>
      </c>
      <c r="P52" s="131">
        <f t="shared" si="5"/>
        <v>2000.001</v>
      </c>
      <c r="Q52" s="344">
        <f t="shared" si="6"/>
        <v>-5.7735026904469904E-2</v>
      </c>
      <c r="R52" s="132">
        <v>1</v>
      </c>
      <c r="S52" s="131">
        <f t="shared" si="8"/>
        <v>0.88957844095478944</v>
      </c>
      <c r="T52" s="130" t="str">
        <f t="shared" si="7"/>
        <v>M-001</v>
      </c>
      <c r="U52" s="675" t="s">
        <v>201</v>
      </c>
      <c r="V52" s="1059"/>
      <c r="AS52" s="67"/>
    </row>
    <row r="53" spans="2:48" ht="30" customHeight="1" x14ac:dyDescent="0.2">
      <c r="B53" s="1034"/>
      <c r="C53" s="141" t="s">
        <v>144</v>
      </c>
      <c r="D53" s="130" t="s">
        <v>117</v>
      </c>
      <c r="E53" s="130" t="s">
        <v>104</v>
      </c>
      <c r="F53" s="130">
        <v>27129360</v>
      </c>
      <c r="G53" s="130" t="s">
        <v>145</v>
      </c>
      <c r="H53" s="130">
        <v>1393</v>
      </c>
      <c r="I53" s="345">
        <v>43228</v>
      </c>
      <c r="J53" s="346">
        <v>5000</v>
      </c>
      <c r="K53" s="347"/>
      <c r="L53" s="348"/>
      <c r="M53" s="344">
        <v>3.7</v>
      </c>
      <c r="N53" s="130">
        <v>3.5</v>
      </c>
      <c r="O53" s="521">
        <f t="shared" si="2"/>
        <v>5000.0037000000002</v>
      </c>
      <c r="P53" s="131">
        <f t="shared" si="5"/>
        <v>5000.0034999999998</v>
      </c>
      <c r="Q53" s="344">
        <f t="shared" si="6"/>
        <v>-0.11547005407148832</v>
      </c>
      <c r="R53" s="130">
        <v>2.5</v>
      </c>
      <c r="S53" s="131">
        <f t="shared" si="8"/>
        <v>0.88957844095478944</v>
      </c>
      <c r="T53" s="130" t="str">
        <f t="shared" si="7"/>
        <v>M-001</v>
      </c>
      <c r="U53" s="675" t="s">
        <v>201</v>
      </c>
      <c r="V53" s="1059"/>
      <c r="AS53" s="67"/>
    </row>
    <row r="54" spans="2:48" ht="30" customHeight="1" thickBot="1" x14ac:dyDescent="0.25">
      <c r="B54" s="1035"/>
      <c r="C54" s="516" t="s">
        <v>146</v>
      </c>
      <c r="D54" s="513" t="s">
        <v>117</v>
      </c>
      <c r="E54" s="513" t="s">
        <v>104</v>
      </c>
      <c r="F54" s="513">
        <v>27129360</v>
      </c>
      <c r="G54" s="513" t="s">
        <v>147</v>
      </c>
      <c r="H54" s="513">
        <v>1393</v>
      </c>
      <c r="I54" s="517">
        <v>43228</v>
      </c>
      <c r="J54" s="514">
        <v>10000</v>
      </c>
      <c r="K54" s="518"/>
      <c r="L54" s="519"/>
      <c r="M54" s="539">
        <v>8.6999999999999993</v>
      </c>
      <c r="N54" s="513">
        <v>8.1999999999999993</v>
      </c>
      <c r="O54" s="522">
        <f t="shared" si="2"/>
        <v>10000.0087</v>
      </c>
      <c r="P54" s="515">
        <f t="shared" si="5"/>
        <v>10000.0082</v>
      </c>
      <c r="Q54" s="539">
        <f t="shared" si="6"/>
        <v>-0.28867513465362377</v>
      </c>
      <c r="R54" s="520">
        <v>5</v>
      </c>
      <c r="S54" s="515">
        <f t="shared" si="8"/>
        <v>0.88957844095478944</v>
      </c>
      <c r="T54" s="513" t="str">
        <f t="shared" si="7"/>
        <v>M-001</v>
      </c>
      <c r="U54" s="680" t="s">
        <v>201</v>
      </c>
      <c r="V54" s="1060"/>
      <c r="AS54" s="67"/>
    </row>
    <row r="55" spans="2:48" ht="30" customHeight="1" x14ac:dyDescent="0.2">
      <c r="B55" s="1034"/>
      <c r="C55" s="136" t="s">
        <v>148</v>
      </c>
      <c r="D55" s="137" t="s">
        <v>149</v>
      </c>
      <c r="E55" s="137" t="s">
        <v>202</v>
      </c>
      <c r="F55" s="137">
        <v>11119515</v>
      </c>
      <c r="G55" s="137">
        <v>1</v>
      </c>
      <c r="H55" s="137">
        <v>1405</v>
      </c>
      <c r="I55" s="350">
        <v>43252</v>
      </c>
      <c r="J55" s="351">
        <v>1</v>
      </c>
      <c r="K55" s="354"/>
      <c r="L55" s="355"/>
      <c r="M55" s="334">
        <v>0.04</v>
      </c>
      <c r="N55" s="137">
        <v>0.04</v>
      </c>
      <c r="O55" s="334">
        <f t="shared" si="2"/>
        <v>1.00004</v>
      </c>
      <c r="P55" s="148">
        <f t="shared" si="5"/>
        <v>1.00004</v>
      </c>
      <c r="Q55" s="334">
        <f t="shared" si="6"/>
        <v>0</v>
      </c>
      <c r="R55" s="137">
        <v>0.03</v>
      </c>
      <c r="S55" s="140">
        <f>(0.34848*((750.7+754.5)/2)-0.009024*((52.2+58.7)/2)*EXP(0.0612*((20+20.6)/2)))/(273.15+((20+20.6)/2))</f>
        <v>0.88782702273489045</v>
      </c>
      <c r="T55" s="137" t="s">
        <v>150</v>
      </c>
      <c r="U55" s="674" t="s">
        <v>201</v>
      </c>
      <c r="V55" s="1055">
        <v>2</v>
      </c>
      <c r="AS55" s="67"/>
      <c r="AT55" s="62"/>
      <c r="AU55" s="62"/>
    </row>
    <row r="56" spans="2:48" ht="30" customHeight="1" x14ac:dyDescent="0.2">
      <c r="B56" s="1034"/>
      <c r="C56" s="141" t="s">
        <v>151</v>
      </c>
      <c r="D56" s="130" t="s">
        <v>149</v>
      </c>
      <c r="E56" s="130" t="s">
        <v>202</v>
      </c>
      <c r="F56" s="130">
        <v>11119515</v>
      </c>
      <c r="G56" s="130" t="s">
        <v>153</v>
      </c>
      <c r="H56" s="130">
        <v>1405</v>
      </c>
      <c r="I56" s="345">
        <v>43252</v>
      </c>
      <c r="J56" s="346">
        <v>2</v>
      </c>
      <c r="K56" s="347"/>
      <c r="L56" s="348"/>
      <c r="M56" s="344">
        <v>0.06</v>
      </c>
      <c r="N56" s="130">
        <v>0.04</v>
      </c>
      <c r="O56" s="344">
        <f t="shared" si="2"/>
        <v>2.0000599999999999</v>
      </c>
      <c r="P56" s="142">
        <f t="shared" si="5"/>
        <v>2.0000399999999998</v>
      </c>
      <c r="Q56" s="344">
        <f t="shared" si="6"/>
        <v>-1.1547005383868162E-2</v>
      </c>
      <c r="R56" s="130">
        <v>0.04</v>
      </c>
      <c r="S56" s="131">
        <f>(0.34848*((750.7+754.5)/2)-0.009024*((52.2+58.7)/2)*EXP(0.0612*((20+20.6)/2)))/(273.15+((20+20.6)/2))</f>
        <v>0.88782702273489045</v>
      </c>
      <c r="T56" s="130" t="str">
        <f t="shared" ref="T56:T70" si="9">T55</f>
        <v>M-002</v>
      </c>
      <c r="U56" s="675" t="s">
        <v>201</v>
      </c>
      <c r="V56" s="1056"/>
      <c r="AS56" s="67"/>
      <c r="AT56" s="62"/>
      <c r="AU56" s="62"/>
    </row>
    <row r="57" spans="2:48" ht="30" customHeight="1" x14ac:dyDescent="0.2">
      <c r="B57" s="1034"/>
      <c r="C57" s="141" t="s">
        <v>152</v>
      </c>
      <c r="D57" s="130" t="s">
        <v>149</v>
      </c>
      <c r="E57" s="130" t="s">
        <v>202</v>
      </c>
      <c r="F57" s="130">
        <v>11119515</v>
      </c>
      <c r="G57" s="130">
        <v>2</v>
      </c>
      <c r="H57" s="130">
        <v>1405</v>
      </c>
      <c r="I57" s="345">
        <v>43252</v>
      </c>
      <c r="J57" s="346">
        <v>2</v>
      </c>
      <c r="K57" s="347"/>
      <c r="L57" s="348"/>
      <c r="M57" s="344">
        <v>0.04</v>
      </c>
      <c r="N57" s="130">
        <v>0.06</v>
      </c>
      <c r="O57" s="344">
        <f t="shared" si="2"/>
        <v>2.0000399999999998</v>
      </c>
      <c r="P57" s="142">
        <f t="shared" si="5"/>
        <v>2.0000599999999999</v>
      </c>
      <c r="Q57" s="344">
        <f t="shared" si="6"/>
        <v>1.1547005383868162E-2</v>
      </c>
      <c r="R57" s="130">
        <v>0.04</v>
      </c>
      <c r="S57" s="131">
        <f t="shared" ref="S57:S70" si="10">(0.34848*((750.7+754.5)/2)-0.009024*((52.2+58.7)/2)*EXP(0.0612*((20+20.6)/2)))/(273.15+((20+20.6)/2))</f>
        <v>0.88782702273489045</v>
      </c>
      <c r="T57" s="130" t="str">
        <f t="shared" si="9"/>
        <v>M-002</v>
      </c>
      <c r="U57" s="675" t="s">
        <v>201</v>
      </c>
      <c r="V57" s="1056"/>
      <c r="AS57" s="67"/>
      <c r="AT57" s="62"/>
      <c r="AU57" s="62"/>
    </row>
    <row r="58" spans="2:48" ht="30" customHeight="1" x14ac:dyDescent="0.2">
      <c r="B58" s="1034"/>
      <c r="C58" s="141" t="s">
        <v>154</v>
      </c>
      <c r="D58" s="130" t="s">
        <v>149</v>
      </c>
      <c r="E58" s="130" t="s">
        <v>202</v>
      </c>
      <c r="F58" s="130">
        <v>11119515</v>
      </c>
      <c r="G58" s="130">
        <v>5</v>
      </c>
      <c r="H58" s="130">
        <v>1405</v>
      </c>
      <c r="I58" s="345">
        <v>43252</v>
      </c>
      <c r="J58" s="130">
        <v>5</v>
      </c>
      <c r="K58" s="347"/>
      <c r="L58" s="348"/>
      <c r="M58" s="344">
        <v>0</v>
      </c>
      <c r="N58" s="133">
        <v>0.01</v>
      </c>
      <c r="O58" s="344">
        <f t="shared" si="2"/>
        <v>5</v>
      </c>
      <c r="P58" s="142">
        <f t="shared" si="5"/>
        <v>5.0000099999999996</v>
      </c>
      <c r="Q58" s="344">
        <f t="shared" si="6"/>
        <v>5.7735026916776863E-3</v>
      </c>
      <c r="R58" s="130">
        <v>0.05</v>
      </c>
      <c r="S58" s="131">
        <f t="shared" si="10"/>
        <v>0.88782702273489045</v>
      </c>
      <c r="T58" s="130" t="str">
        <f t="shared" si="9"/>
        <v>M-002</v>
      </c>
      <c r="U58" s="675" t="s">
        <v>201</v>
      </c>
      <c r="V58" s="1056"/>
      <c r="AS58" s="67"/>
      <c r="AT58" s="62"/>
      <c r="AU58" s="62"/>
    </row>
    <row r="59" spans="2:48" ht="30" customHeight="1" x14ac:dyDescent="0.2">
      <c r="B59" s="1034"/>
      <c r="C59" s="141" t="s">
        <v>155</v>
      </c>
      <c r="D59" s="130" t="s">
        <v>149</v>
      </c>
      <c r="E59" s="130" t="s">
        <v>202</v>
      </c>
      <c r="F59" s="130">
        <v>11119515</v>
      </c>
      <c r="G59" s="130">
        <v>10</v>
      </c>
      <c r="H59" s="130">
        <v>1405</v>
      </c>
      <c r="I59" s="345">
        <v>43252</v>
      </c>
      <c r="J59" s="130">
        <v>10</v>
      </c>
      <c r="K59" s="347"/>
      <c r="L59" s="348"/>
      <c r="M59" s="344">
        <v>0.05</v>
      </c>
      <c r="N59" s="130">
        <v>7.0000000000000007E-2</v>
      </c>
      <c r="O59" s="344">
        <f t="shared" si="2"/>
        <v>10.00005</v>
      </c>
      <c r="P59" s="142">
        <f t="shared" si="5"/>
        <v>10.000069999999999</v>
      </c>
      <c r="Q59" s="344">
        <f t="shared" si="6"/>
        <v>1.1547005383355373E-2</v>
      </c>
      <c r="R59" s="130">
        <v>0.06</v>
      </c>
      <c r="S59" s="131">
        <f t="shared" si="10"/>
        <v>0.88782702273489045</v>
      </c>
      <c r="T59" s="130" t="str">
        <f t="shared" si="9"/>
        <v>M-002</v>
      </c>
      <c r="U59" s="675" t="s">
        <v>201</v>
      </c>
      <c r="V59" s="1056"/>
      <c r="AS59" s="67"/>
      <c r="AT59" s="62"/>
      <c r="AU59" s="62"/>
    </row>
    <row r="60" spans="2:48" ht="30" customHeight="1" x14ac:dyDescent="0.2">
      <c r="B60" s="1034"/>
      <c r="C60" s="141" t="s">
        <v>157</v>
      </c>
      <c r="D60" s="130" t="s">
        <v>149</v>
      </c>
      <c r="E60" s="130" t="s">
        <v>202</v>
      </c>
      <c r="F60" s="130">
        <v>11119515</v>
      </c>
      <c r="G60" s="130" t="s">
        <v>159</v>
      </c>
      <c r="H60" s="130">
        <v>1405</v>
      </c>
      <c r="I60" s="345">
        <v>43252</v>
      </c>
      <c r="J60" s="130">
        <v>20</v>
      </c>
      <c r="K60" s="347"/>
      <c r="L60" s="348"/>
      <c r="M60" s="344">
        <v>7.0000000000000007E-2</v>
      </c>
      <c r="N60" s="130">
        <v>0.08</v>
      </c>
      <c r="O60" s="344">
        <f t="shared" si="2"/>
        <v>20.000070000000001</v>
      </c>
      <c r="P60" s="142">
        <f t="shared" si="5"/>
        <v>20.000080000000001</v>
      </c>
      <c r="Q60" s="344">
        <f t="shared" si="6"/>
        <v>5.7735026916776863E-3</v>
      </c>
      <c r="R60" s="130">
        <v>0.08</v>
      </c>
      <c r="S60" s="131">
        <f t="shared" si="10"/>
        <v>0.88782702273489045</v>
      </c>
      <c r="T60" s="130" t="str">
        <f t="shared" si="9"/>
        <v>M-002</v>
      </c>
      <c r="U60" s="675" t="s">
        <v>201</v>
      </c>
      <c r="V60" s="1056"/>
      <c r="AS60" s="67"/>
      <c r="AT60" s="62"/>
      <c r="AU60" s="62"/>
    </row>
    <row r="61" spans="2:48" ht="30" customHeight="1" x14ac:dyDescent="0.2">
      <c r="B61" s="1034"/>
      <c r="C61" s="141" t="s">
        <v>158</v>
      </c>
      <c r="D61" s="130" t="s">
        <v>149</v>
      </c>
      <c r="E61" s="130" t="s">
        <v>202</v>
      </c>
      <c r="F61" s="130">
        <v>11119515</v>
      </c>
      <c r="G61" s="130">
        <v>20</v>
      </c>
      <c r="H61" s="130">
        <v>1405</v>
      </c>
      <c r="I61" s="345">
        <v>43252</v>
      </c>
      <c r="J61" s="130">
        <v>20</v>
      </c>
      <c r="K61" s="347"/>
      <c r="L61" s="348"/>
      <c r="M61" s="344">
        <v>0.08</v>
      </c>
      <c r="N61" s="130">
        <v>7.0000000000000007E-2</v>
      </c>
      <c r="O61" s="344">
        <f t="shared" si="2"/>
        <v>20.000080000000001</v>
      </c>
      <c r="P61" s="142">
        <f t="shared" si="5"/>
        <v>20.000070000000001</v>
      </c>
      <c r="Q61" s="344">
        <f t="shared" si="6"/>
        <v>-5.7735026916776863E-3</v>
      </c>
      <c r="R61" s="130">
        <v>0.08</v>
      </c>
      <c r="S61" s="131">
        <f t="shared" si="10"/>
        <v>0.88782702273489045</v>
      </c>
      <c r="T61" s="130" t="str">
        <f t="shared" si="9"/>
        <v>M-002</v>
      </c>
      <c r="U61" s="675" t="s">
        <v>201</v>
      </c>
      <c r="V61" s="1056"/>
      <c r="AS61" s="67"/>
      <c r="AT61" s="62"/>
      <c r="AU61" s="62"/>
    </row>
    <row r="62" spans="2:48" ht="30" customHeight="1" x14ac:dyDescent="0.2">
      <c r="B62" s="1034"/>
      <c r="C62" s="141" t="s">
        <v>160</v>
      </c>
      <c r="D62" s="130" t="s">
        <v>149</v>
      </c>
      <c r="E62" s="130" t="s">
        <v>202</v>
      </c>
      <c r="F62" s="130">
        <v>11119515</v>
      </c>
      <c r="G62" s="130">
        <v>50</v>
      </c>
      <c r="H62" s="130">
        <v>1405</v>
      </c>
      <c r="I62" s="345">
        <v>43252</v>
      </c>
      <c r="J62" s="130">
        <v>50</v>
      </c>
      <c r="K62" s="347"/>
      <c r="L62" s="348"/>
      <c r="M62" s="344">
        <v>0.19</v>
      </c>
      <c r="N62" s="130">
        <v>0.13</v>
      </c>
      <c r="O62" s="344">
        <f t="shared" si="2"/>
        <v>50.000190000000003</v>
      </c>
      <c r="P62" s="142">
        <f t="shared" si="5"/>
        <v>50.000129999999999</v>
      </c>
      <c r="Q62" s="344">
        <f t="shared" si="6"/>
        <v>-3.4641016154168439E-2</v>
      </c>
      <c r="R62" s="133">
        <v>0.1</v>
      </c>
      <c r="S62" s="131">
        <f t="shared" si="10"/>
        <v>0.88782702273489045</v>
      </c>
      <c r="T62" s="130" t="str">
        <f t="shared" si="9"/>
        <v>M-002</v>
      </c>
      <c r="U62" s="675" t="s">
        <v>201</v>
      </c>
      <c r="V62" s="1056"/>
      <c r="AS62" s="67"/>
      <c r="AT62" s="62"/>
      <c r="AU62" s="62"/>
    </row>
    <row r="63" spans="2:48" ht="30" customHeight="1" x14ac:dyDescent="0.2">
      <c r="B63" s="1034"/>
      <c r="C63" s="141" t="s">
        <v>161</v>
      </c>
      <c r="D63" s="130" t="s">
        <v>149</v>
      </c>
      <c r="E63" s="130" t="s">
        <v>202</v>
      </c>
      <c r="F63" s="130">
        <v>11119515</v>
      </c>
      <c r="G63" s="130">
        <v>100</v>
      </c>
      <c r="H63" s="130">
        <v>1405</v>
      </c>
      <c r="I63" s="345">
        <v>43252</v>
      </c>
      <c r="J63" s="130">
        <v>100</v>
      </c>
      <c r="K63" s="347"/>
      <c r="L63" s="348"/>
      <c r="M63" s="344">
        <v>0.13</v>
      </c>
      <c r="N63" s="130">
        <v>0.14000000000000001</v>
      </c>
      <c r="O63" s="344">
        <f t="shared" si="2"/>
        <v>100.00013</v>
      </c>
      <c r="P63" s="142">
        <f t="shared" si="5"/>
        <v>100.00014</v>
      </c>
      <c r="Q63" s="344">
        <f t="shared" si="6"/>
        <v>5.7735026937288467E-3</v>
      </c>
      <c r="R63" s="130">
        <v>0.16</v>
      </c>
      <c r="S63" s="131">
        <f t="shared" si="10"/>
        <v>0.88782702273489045</v>
      </c>
      <c r="T63" s="130" t="str">
        <f t="shared" si="9"/>
        <v>M-002</v>
      </c>
      <c r="U63" s="675" t="s">
        <v>201</v>
      </c>
      <c r="V63" s="1056"/>
      <c r="AT63" s="67"/>
      <c r="AU63" s="62"/>
      <c r="AV63" s="62"/>
    </row>
    <row r="64" spans="2:48" ht="30" customHeight="1" x14ac:dyDescent="0.2">
      <c r="B64" s="1034"/>
      <c r="C64" s="141" t="s">
        <v>162</v>
      </c>
      <c r="D64" s="130" t="s">
        <v>149</v>
      </c>
      <c r="E64" s="130" t="s">
        <v>202</v>
      </c>
      <c r="F64" s="130">
        <v>11119515</v>
      </c>
      <c r="G64" s="130" t="s">
        <v>164</v>
      </c>
      <c r="H64" s="130">
        <v>1405</v>
      </c>
      <c r="I64" s="345">
        <v>43252</v>
      </c>
      <c r="J64" s="130">
        <v>200</v>
      </c>
      <c r="K64" s="347"/>
      <c r="L64" s="348"/>
      <c r="M64" s="344">
        <v>0.2</v>
      </c>
      <c r="N64" s="130">
        <v>0.3</v>
      </c>
      <c r="O64" s="344">
        <f t="shared" si="2"/>
        <v>200.00020000000001</v>
      </c>
      <c r="P64" s="131">
        <f t="shared" si="5"/>
        <v>200.00030000000001</v>
      </c>
      <c r="Q64" s="344">
        <f t="shared" si="6"/>
        <v>5.773502692087918E-2</v>
      </c>
      <c r="R64" s="130">
        <v>0.3</v>
      </c>
      <c r="S64" s="131">
        <f t="shared" si="10"/>
        <v>0.88782702273489045</v>
      </c>
      <c r="T64" s="130" t="str">
        <f t="shared" si="9"/>
        <v>M-002</v>
      </c>
      <c r="U64" s="675" t="s">
        <v>201</v>
      </c>
      <c r="V64" s="1056"/>
      <c r="AT64" s="67"/>
      <c r="AU64" s="62"/>
      <c r="AV64" s="62"/>
    </row>
    <row r="65" spans="2:50" ht="30" customHeight="1" x14ac:dyDescent="0.2">
      <c r="B65" s="1034"/>
      <c r="C65" s="141" t="s">
        <v>163</v>
      </c>
      <c r="D65" s="130" t="s">
        <v>149</v>
      </c>
      <c r="E65" s="130" t="s">
        <v>202</v>
      </c>
      <c r="F65" s="130">
        <v>11119515</v>
      </c>
      <c r="G65" s="130">
        <v>200</v>
      </c>
      <c r="H65" s="130">
        <v>1405</v>
      </c>
      <c r="I65" s="345">
        <v>43252</v>
      </c>
      <c r="J65" s="130">
        <v>200</v>
      </c>
      <c r="K65" s="347"/>
      <c r="L65" s="348"/>
      <c r="M65" s="344">
        <v>0.3</v>
      </c>
      <c r="N65" s="130">
        <v>0.2</v>
      </c>
      <c r="O65" s="344">
        <f t="shared" si="2"/>
        <v>200.00030000000001</v>
      </c>
      <c r="P65" s="131">
        <f t="shared" si="5"/>
        <v>200.00020000000001</v>
      </c>
      <c r="Q65" s="344">
        <f t="shared" si="6"/>
        <v>-5.773502692087918E-2</v>
      </c>
      <c r="R65" s="130">
        <v>0.3</v>
      </c>
      <c r="S65" s="131">
        <f t="shared" si="10"/>
        <v>0.88782702273489045</v>
      </c>
      <c r="T65" s="130" t="str">
        <f t="shared" si="9"/>
        <v>M-002</v>
      </c>
      <c r="U65" s="675" t="s">
        <v>201</v>
      </c>
      <c r="V65" s="1056"/>
      <c r="AT65" s="67"/>
      <c r="AU65" s="62"/>
      <c r="AV65" s="62"/>
    </row>
    <row r="66" spans="2:50" ht="30" customHeight="1" x14ac:dyDescent="0.2">
      <c r="B66" s="1034"/>
      <c r="C66" s="141" t="s">
        <v>165</v>
      </c>
      <c r="D66" s="130" t="s">
        <v>149</v>
      </c>
      <c r="E66" s="130" t="s">
        <v>202</v>
      </c>
      <c r="F66" s="130">
        <v>11119515</v>
      </c>
      <c r="G66" s="130">
        <v>500</v>
      </c>
      <c r="H66" s="130">
        <v>1405</v>
      </c>
      <c r="I66" s="345">
        <v>43252</v>
      </c>
      <c r="J66" s="130">
        <v>500</v>
      </c>
      <c r="K66" s="347"/>
      <c r="L66" s="348"/>
      <c r="M66" s="344">
        <v>0.8</v>
      </c>
      <c r="N66" s="130">
        <v>0.8</v>
      </c>
      <c r="O66" s="344">
        <f t="shared" si="2"/>
        <v>500.00080000000003</v>
      </c>
      <c r="P66" s="131">
        <f t="shared" si="5"/>
        <v>500.00080000000003</v>
      </c>
      <c r="Q66" s="344">
        <f t="shared" si="6"/>
        <v>0</v>
      </c>
      <c r="R66" s="130">
        <v>0.8</v>
      </c>
      <c r="S66" s="131">
        <f t="shared" si="10"/>
        <v>0.88782702273489045</v>
      </c>
      <c r="T66" s="130" t="str">
        <f t="shared" si="9"/>
        <v>M-002</v>
      </c>
      <c r="U66" s="675" t="s">
        <v>201</v>
      </c>
      <c r="V66" s="1056"/>
      <c r="AI66" s="77"/>
      <c r="AJ66" s="77"/>
      <c r="AK66" s="77"/>
      <c r="AQ66" s="78"/>
      <c r="AR66" s="78"/>
      <c r="AS66" s="67"/>
      <c r="AT66" s="67"/>
      <c r="AU66" s="62"/>
      <c r="AV66" s="62"/>
    </row>
    <row r="67" spans="2:50" ht="30" customHeight="1" x14ac:dyDescent="0.2">
      <c r="B67" s="1034"/>
      <c r="C67" s="141" t="s">
        <v>166</v>
      </c>
      <c r="D67" s="130" t="s">
        <v>149</v>
      </c>
      <c r="E67" s="130" t="s">
        <v>202</v>
      </c>
      <c r="F67" s="130">
        <v>11119515</v>
      </c>
      <c r="G67" s="130">
        <v>1</v>
      </c>
      <c r="H67" s="130">
        <v>1405</v>
      </c>
      <c r="I67" s="345">
        <v>43252</v>
      </c>
      <c r="J67" s="346">
        <v>1000</v>
      </c>
      <c r="K67" s="347"/>
      <c r="L67" s="347"/>
      <c r="M67" s="344">
        <v>1.9</v>
      </c>
      <c r="N67" s="130">
        <v>1.9</v>
      </c>
      <c r="O67" s="344">
        <f t="shared" si="2"/>
        <v>1000.0019</v>
      </c>
      <c r="P67" s="131">
        <f t="shared" si="5"/>
        <v>1000.0019</v>
      </c>
      <c r="Q67" s="344">
        <f t="shared" si="6"/>
        <v>0</v>
      </c>
      <c r="R67" s="130">
        <v>1.6</v>
      </c>
      <c r="S67" s="131">
        <f t="shared" si="10"/>
        <v>0.88782702273489045</v>
      </c>
      <c r="T67" s="130" t="str">
        <f t="shared" si="9"/>
        <v>M-002</v>
      </c>
      <c r="U67" s="675" t="s">
        <v>201</v>
      </c>
      <c r="V67" s="1056"/>
      <c r="AI67" s="79"/>
      <c r="AJ67" s="79"/>
      <c r="AK67" s="79"/>
      <c r="AQ67" s="79"/>
      <c r="AR67" s="79"/>
      <c r="AS67" s="79"/>
      <c r="AT67" s="79"/>
      <c r="AU67" s="79"/>
      <c r="AV67" s="79"/>
      <c r="AW67" s="79"/>
      <c r="AX67" s="79"/>
    </row>
    <row r="68" spans="2:50" ht="30" customHeight="1" x14ac:dyDescent="0.2">
      <c r="B68" s="1034"/>
      <c r="C68" s="141" t="s">
        <v>167</v>
      </c>
      <c r="D68" s="130" t="s">
        <v>149</v>
      </c>
      <c r="E68" s="130" t="s">
        <v>202</v>
      </c>
      <c r="F68" s="130">
        <v>11119515</v>
      </c>
      <c r="G68" s="130" t="s">
        <v>153</v>
      </c>
      <c r="H68" s="130">
        <v>1405</v>
      </c>
      <c r="I68" s="345">
        <v>43252</v>
      </c>
      <c r="J68" s="346">
        <v>2000</v>
      </c>
      <c r="K68" s="347"/>
      <c r="L68" s="347"/>
      <c r="M68" s="344">
        <v>2.2000000000000002</v>
      </c>
      <c r="N68" s="132">
        <v>1.9</v>
      </c>
      <c r="O68" s="344">
        <f t="shared" si="2"/>
        <v>2000.0021999999999</v>
      </c>
      <c r="P68" s="131">
        <f t="shared" si="5"/>
        <v>2000.0019</v>
      </c>
      <c r="Q68" s="344">
        <f t="shared" si="6"/>
        <v>-0.1732050807134097</v>
      </c>
      <c r="R68" s="132">
        <v>3</v>
      </c>
      <c r="S68" s="131">
        <f t="shared" si="10"/>
        <v>0.88782702273489045</v>
      </c>
      <c r="T68" s="130" t="str">
        <f t="shared" si="9"/>
        <v>M-002</v>
      </c>
      <c r="U68" s="675" t="s">
        <v>201</v>
      </c>
      <c r="V68" s="1056"/>
      <c r="AE68" s="79"/>
      <c r="AF68" s="79"/>
      <c r="AG68" s="79"/>
      <c r="AH68" s="79"/>
      <c r="AI68" s="79"/>
      <c r="AJ68" s="79"/>
      <c r="AK68" s="79"/>
      <c r="AQ68" s="79"/>
      <c r="AR68" s="79"/>
      <c r="AS68" s="79"/>
      <c r="AT68" s="79"/>
      <c r="AU68" s="79"/>
      <c r="AV68" s="79"/>
      <c r="AW68" s="79"/>
      <c r="AX68" s="79"/>
    </row>
    <row r="69" spans="2:50" ht="30" customHeight="1" x14ac:dyDescent="0.2">
      <c r="B69" s="1034"/>
      <c r="C69" s="141" t="s">
        <v>168</v>
      </c>
      <c r="D69" s="130" t="s">
        <v>149</v>
      </c>
      <c r="E69" s="130" t="s">
        <v>202</v>
      </c>
      <c r="F69" s="130">
        <v>11119515</v>
      </c>
      <c r="G69" s="130">
        <v>2</v>
      </c>
      <c r="H69" s="130">
        <v>1405</v>
      </c>
      <c r="I69" s="345">
        <v>43252</v>
      </c>
      <c r="J69" s="346">
        <v>2000</v>
      </c>
      <c r="K69" s="347"/>
      <c r="L69" s="347"/>
      <c r="M69" s="408">
        <v>2</v>
      </c>
      <c r="N69" s="132">
        <v>2.1</v>
      </c>
      <c r="O69" s="344">
        <f t="shared" si="2"/>
        <v>2000.002</v>
      </c>
      <c r="P69" s="131">
        <f t="shared" si="5"/>
        <v>2000.0020999999999</v>
      </c>
      <c r="Q69" s="344">
        <f t="shared" si="6"/>
        <v>5.7735026904469904E-2</v>
      </c>
      <c r="R69" s="132">
        <v>3</v>
      </c>
      <c r="S69" s="131">
        <f t="shared" si="10"/>
        <v>0.88782702273489045</v>
      </c>
      <c r="T69" s="130" t="str">
        <f t="shared" si="9"/>
        <v>M-002</v>
      </c>
      <c r="U69" s="675" t="s">
        <v>201</v>
      </c>
      <c r="V69" s="1056"/>
      <c r="AC69" s="79"/>
      <c r="AD69" s="79"/>
      <c r="AE69" s="79"/>
      <c r="AF69" s="79"/>
      <c r="AG69" s="79"/>
      <c r="AH69" s="79"/>
      <c r="AI69" s="79"/>
      <c r="AJ69" s="79"/>
      <c r="AK69" s="79"/>
      <c r="AQ69" s="79"/>
      <c r="AR69" s="79"/>
      <c r="AS69" s="79"/>
      <c r="AT69" s="79"/>
      <c r="AU69" s="79"/>
      <c r="AV69" s="79"/>
      <c r="AW69" s="79"/>
      <c r="AX69" s="79"/>
    </row>
    <row r="70" spans="2:50" ht="30" customHeight="1" thickBot="1" x14ac:dyDescent="0.25">
      <c r="B70" s="1035"/>
      <c r="C70" s="516" t="s">
        <v>169</v>
      </c>
      <c r="D70" s="513" t="s">
        <v>149</v>
      </c>
      <c r="E70" s="513" t="s">
        <v>202</v>
      </c>
      <c r="F70" s="513">
        <v>11119515</v>
      </c>
      <c r="G70" s="513">
        <v>5</v>
      </c>
      <c r="H70" s="513">
        <v>1405</v>
      </c>
      <c r="I70" s="517">
        <v>43252</v>
      </c>
      <c r="J70" s="514">
        <v>5000</v>
      </c>
      <c r="K70" s="518"/>
      <c r="L70" s="518"/>
      <c r="M70" s="539">
        <v>5.9</v>
      </c>
      <c r="N70" s="513">
        <v>5.8</v>
      </c>
      <c r="O70" s="539">
        <f t="shared" si="2"/>
        <v>5000.0059000000001</v>
      </c>
      <c r="P70" s="515">
        <f t="shared" ref="P70:P88" si="11">J70+(N70)/1000</f>
        <v>5000.0057999999999</v>
      </c>
      <c r="Q70" s="539">
        <f t="shared" ref="Q70:Q88" si="12">(P70-O70)/SQRT(3)*1000</f>
        <v>-5.7735027035744159E-2</v>
      </c>
      <c r="R70" s="520">
        <v>8</v>
      </c>
      <c r="S70" s="515">
        <f t="shared" si="10"/>
        <v>0.88782702273489045</v>
      </c>
      <c r="T70" s="513" t="str">
        <f t="shared" si="9"/>
        <v>M-002</v>
      </c>
      <c r="U70" s="680" t="s">
        <v>201</v>
      </c>
      <c r="V70" s="1057"/>
      <c r="AC70" s="79"/>
      <c r="AD70" s="79"/>
      <c r="AE70" s="79"/>
      <c r="AF70" s="79"/>
      <c r="AG70" s="79"/>
      <c r="AH70" s="79"/>
      <c r="AI70" s="79"/>
      <c r="AJ70" s="79"/>
      <c r="AK70" s="79"/>
      <c r="AQ70" s="79"/>
      <c r="AR70" s="79"/>
      <c r="AS70" s="79"/>
      <c r="AT70" s="79"/>
      <c r="AU70" s="79"/>
      <c r="AV70" s="79"/>
      <c r="AW70" s="79"/>
      <c r="AX70" s="79"/>
    </row>
    <row r="71" spans="2:50" ht="30" customHeight="1" thickBot="1" x14ac:dyDescent="0.25">
      <c r="B71" s="149"/>
      <c r="C71" s="541" t="s">
        <v>170</v>
      </c>
      <c r="D71" s="542" t="s">
        <v>149</v>
      </c>
      <c r="E71" s="542" t="s">
        <v>202</v>
      </c>
      <c r="F71" s="542">
        <v>11119467</v>
      </c>
      <c r="G71" s="542">
        <v>10</v>
      </c>
      <c r="H71" s="542">
        <v>1500</v>
      </c>
      <c r="I71" s="543">
        <v>43670</v>
      </c>
      <c r="J71" s="540">
        <v>10000</v>
      </c>
      <c r="K71" s="544"/>
      <c r="L71" s="544"/>
      <c r="M71" s="334">
        <v>7</v>
      </c>
      <c r="N71" s="542">
        <v>7</v>
      </c>
      <c r="O71" s="334">
        <f t="shared" si="2"/>
        <v>10000.007</v>
      </c>
      <c r="P71" s="545">
        <f t="shared" si="11"/>
        <v>10000.007</v>
      </c>
      <c r="Q71" s="334">
        <f t="shared" si="12"/>
        <v>0</v>
      </c>
      <c r="R71" s="542">
        <v>16</v>
      </c>
      <c r="S71" s="546">
        <f>(0.34848*((752.6+754.6)/2)-0.009024*((54.2+56.2)/2)*EXP(0.0612*((20+20.2)/2)))/(273.15+((20+20.2)/2))</f>
        <v>0.88971909362420276</v>
      </c>
      <c r="T71" s="542" t="s">
        <v>171</v>
      </c>
      <c r="U71" s="681" t="s">
        <v>201</v>
      </c>
      <c r="V71" s="547">
        <v>2</v>
      </c>
      <c r="AC71" s="79"/>
      <c r="AD71" s="79"/>
      <c r="AE71" s="79"/>
      <c r="AF71" s="79"/>
      <c r="AG71" s="79"/>
      <c r="AH71" s="79"/>
      <c r="AI71" s="79"/>
      <c r="AJ71" s="79"/>
      <c r="AK71" s="79"/>
      <c r="AQ71" s="79"/>
      <c r="AR71" s="79"/>
      <c r="AS71" s="79"/>
      <c r="AT71" s="79"/>
      <c r="AU71" s="79"/>
      <c r="AV71" s="79"/>
      <c r="AW71" s="79"/>
      <c r="AX71" s="79"/>
    </row>
    <row r="72" spans="2:50" ht="30" customHeight="1" thickBot="1" x14ac:dyDescent="0.25">
      <c r="B72" s="235"/>
      <c r="C72" s="696" t="s">
        <v>172</v>
      </c>
      <c r="D72" s="697" t="s">
        <v>149</v>
      </c>
      <c r="E72" s="697" t="s">
        <v>202</v>
      </c>
      <c r="F72" s="697">
        <v>11119468</v>
      </c>
      <c r="G72" s="697">
        <v>20</v>
      </c>
      <c r="H72" s="697">
        <v>1504</v>
      </c>
      <c r="I72" s="698">
        <v>43682</v>
      </c>
      <c r="J72" s="699">
        <v>20000</v>
      </c>
      <c r="K72" s="700"/>
      <c r="L72" s="700"/>
      <c r="M72" s="413">
        <v>0</v>
      </c>
      <c r="N72" s="697">
        <v>-4</v>
      </c>
      <c r="O72" s="413">
        <f t="shared" si="2"/>
        <v>20000</v>
      </c>
      <c r="P72" s="701">
        <f t="shared" si="11"/>
        <v>19999.995999999999</v>
      </c>
      <c r="Q72" s="413">
        <f t="shared" si="12"/>
        <v>-2.3094010772289901</v>
      </c>
      <c r="R72" s="697">
        <v>30</v>
      </c>
      <c r="S72" s="702">
        <f>(0.34848*((754.3+754.5)/2)-0.009024*((46.7+46.8)/2)*EXP(0.0612*((21.4+21.5)/2)))/(273.15+((21.4+21.5)/2))</f>
        <v>0.88705190473328321</v>
      </c>
      <c r="T72" s="697" t="s">
        <v>173</v>
      </c>
      <c r="U72" s="703" t="s">
        <v>201</v>
      </c>
      <c r="V72" s="704">
        <v>2</v>
      </c>
      <c r="AC72" s="79"/>
      <c r="AD72" s="79"/>
      <c r="AE72" s="79"/>
      <c r="AF72" s="79"/>
      <c r="AG72" s="79"/>
      <c r="AH72" s="79"/>
      <c r="AI72" s="79"/>
      <c r="AJ72" s="79"/>
      <c r="AK72" s="79"/>
      <c r="AQ72" s="79"/>
      <c r="AR72" s="79"/>
      <c r="AS72" s="79"/>
      <c r="AT72" s="79"/>
      <c r="AU72" s="79"/>
      <c r="AV72" s="79"/>
      <c r="AW72" s="79"/>
      <c r="AX72" s="79"/>
    </row>
    <row r="73" spans="2:50" ht="30" customHeight="1" x14ac:dyDescent="0.2">
      <c r="B73" s="1031" t="s">
        <v>357</v>
      </c>
      <c r="C73" s="686" t="s">
        <v>341</v>
      </c>
      <c r="D73" s="687" t="s">
        <v>149</v>
      </c>
      <c r="E73" s="687" t="s">
        <v>174</v>
      </c>
      <c r="F73" s="687" t="s">
        <v>203</v>
      </c>
      <c r="G73" s="687" t="s">
        <v>175</v>
      </c>
      <c r="H73" s="687">
        <v>1392</v>
      </c>
      <c r="I73" s="688">
        <v>43228</v>
      </c>
      <c r="J73" s="687">
        <v>1</v>
      </c>
      <c r="K73" s="689"/>
      <c r="L73" s="689"/>
      <c r="M73" s="690">
        <v>0.04</v>
      </c>
      <c r="N73" s="691">
        <v>0.04</v>
      </c>
      <c r="O73" s="692">
        <f t="shared" si="2"/>
        <v>1.00004</v>
      </c>
      <c r="P73" s="693">
        <f t="shared" si="11"/>
        <v>1.00004</v>
      </c>
      <c r="Q73" s="692">
        <f t="shared" si="12"/>
        <v>0</v>
      </c>
      <c r="R73" s="691">
        <v>3.3000000000000002E-2</v>
      </c>
      <c r="S73" s="694">
        <f>(0.34848*((751.2+755.7)/2)-0.009024*((48.4+57.9)/2)*EXP(0.0612*((19.5+20.7)/2)))/(273.15+((19.5+20.7)/2))</f>
        <v>0.88975669159417592</v>
      </c>
      <c r="T73" s="687" t="s">
        <v>176</v>
      </c>
      <c r="U73" s="695" t="s">
        <v>201</v>
      </c>
      <c r="V73" s="1055">
        <v>5</v>
      </c>
      <c r="AC73" s="79"/>
      <c r="AD73" s="79"/>
      <c r="AE73" s="79"/>
      <c r="AF73" s="79"/>
      <c r="AG73" s="79"/>
      <c r="AH73" s="79"/>
      <c r="AI73" s="79"/>
      <c r="AJ73" s="79"/>
      <c r="AK73" s="79"/>
      <c r="AL73" s="79"/>
      <c r="AM73" s="79"/>
      <c r="AN73" s="79"/>
      <c r="AO73" s="79"/>
      <c r="AP73" s="79"/>
      <c r="AQ73" s="79"/>
      <c r="AR73" s="79"/>
      <c r="AS73" s="79"/>
      <c r="AT73" s="79"/>
      <c r="AU73" s="79"/>
      <c r="AV73" s="79"/>
      <c r="AW73" s="79"/>
      <c r="AX73" s="79"/>
    </row>
    <row r="74" spans="2:50" ht="30" customHeight="1" x14ac:dyDescent="0.2">
      <c r="B74" s="1032"/>
      <c r="C74" s="141" t="s">
        <v>342</v>
      </c>
      <c r="D74" s="130" t="s">
        <v>149</v>
      </c>
      <c r="E74" s="130" t="s">
        <v>174</v>
      </c>
      <c r="F74" s="130" t="s">
        <v>203</v>
      </c>
      <c r="G74" s="130" t="s">
        <v>175</v>
      </c>
      <c r="H74" s="130">
        <v>1392</v>
      </c>
      <c r="I74" s="345">
        <v>43228</v>
      </c>
      <c r="J74" s="130">
        <v>2</v>
      </c>
      <c r="K74" s="347"/>
      <c r="L74" s="347"/>
      <c r="M74" s="534">
        <v>0.04</v>
      </c>
      <c r="N74" s="133">
        <v>0.04</v>
      </c>
      <c r="O74" s="344">
        <f t="shared" si="2"/>
        <v>2.0000399999999998</v>
      </c>
      <c r="P74" s="142">
        <f t="shared" si="11"/>
        <v>2.0000399999999998</v>
      </c>
      <c r="Q74" s="344">
        <f t="shared" si="12"/>
        <v>0</v>
      </c>
      <c r="R74" s="133">
        <v>0.04</v>
      </c>
      <c r="S74" s="131">
        <f t="shared" ref="S74:S88" si="13">(0.34848*((751.2+755.7)/2)-0.009024*((48.4+57.9)/2)*EXP(0.0612*((19.5+20.7)/2)))/(273.15+((19.5+20.7)/2))</f>
        <v>0.88975669159417592</v>
      </c>
      <c r="T74" s="130" t="str">
        <f t="shared" ref="T74:T88" si="14">T73</f>
        <v>M-016</v>
      </c>
      <c r="U74" s="675" t="s">
        <v>201</v>
      </c>
      <c r="V74" s="1056"/>
      <c r="AC74" s="79"/>
      <c r="AD74" s="79"/>
      <c r="AE74" s="79"/>
      <c r="AF74" s="79"/>
      <c r="AG74" s="79"/>
      <c r="AH74" s="79"/>
      <c r="AI74" s="79"/>
      <c r="AJ74" s="79"/>
      <c r="AK74" s="79"/>
      <c r="AL74" s="79"/>
      <c r="AM74" s="79"/>
      <c r="AN74" s="79"/>
      <c r="AO74" s="79"/>
      <c r="AP74" s="79"/>
      <c r="AQ74" s="79"/>
      <c r="AR74" s="79"/>
      <c r="AS74" s="79"/>
      <c r="AT74" s="79"/>
      <c r="AU74" s="79"/>
      <c r="AV74" s="79"/>
      <c r="AW74" s="79"/>
      <c r="AX74" s="79"/>
    </row>
    <row r="75" spans="2:50" ht="30" customHeight="1" x14ac:dyDescent="0.2">
      <c r="B75" s="1032"/>
      <c r="C75" s="141" t="s">
        <v>343</v>
      </c>
      <c r="D75" s="130" t="s">
        <v>149</v>
      </c>
      <c r="E75" s="130" t="s">
        <v>174</v>
      </c>
      <c r="F75" s="130" t="s">
        <v>203</v>
      </c>
      <c r="G75" s="130" t="s">
        <v>177</v>
      </c>
      <c r="H75" s="130">
        <v>1392</v>
      </c>
      <c r="I75" s="345">
        <v>43228</v>
      </c>
      <c r="J75" s="130">
        <v>2</v>
      </c>
      <c r="K75" s="347"/>
      <c r="L75" s="347"/>
      <c r="M75" s="534">
        <v>5.3999999999999999E-2</v>
      </c>
      <c r="N75" s="130">
        <v>0.05</v>
      </c>
      <c r="O75" s="344">
        <f t="shared" si="2"/>
        <v>2.000054</v>
      </c>
      <c r="P75" s="146">
        <f t="shared" si="11"/>
        <v>2.0000499999999999</v>
      </c>
      <c r="Q75" s="344">
        <f t="shared" si="12"/>
        <v>-2.3094010768249114E-3</v>
      </c>
      <c r="R75" s="133">
        <v>0.04</v>
      </c>
      <c r="S75" s="131">
        <f t="shared" si="13"/>
        <v>0.88975669159417592</v>
      </c>
      <c r="T75" s="130" t="str">
        <f t="shared" si="14"/>
        <v>M-016</v>
      </c>
      <c r="U75" s="675" t="s">
        <v>201</v>
      </c>
      <c r="V75" s="1056"/>
      <c r="AC75" s="79"/>
      <c r="AD75" s="79"/>
      <c r="AE75" s="79"/>
      <c r="AF75" s="79"/>
      <c r="AG75" s="79"/>
      <c r="AH75" s="79"/>
      <c r="AI75" s="79"/>
      <c r="AJ75" s="79"/>
      <c r="AK75" s="79"/>
      <c r="AL75" s="79"/>
      <c r="AM75" s="79"/>
      <c r="AN75" s="79"/>
      <c r="AO75" s="79"/>
      <c r="AP75" s="79"/>
      <c r="AQ75" s="79"/>
      <c r="AR75" s="79"/>
      <c r="AS75" s="79"/>
      <c r="AT75" s="79"/>
      <c r="AU75" s="79"/>
      <c r="AV75" s="79"/>
      <c r="AW75" s="79"/>
      <c r="AX75" s="79"/>
    </row>
    <row r="76" spans="2:50" ht="30" customHeight="1" x14ac:dyDescent="0.2">
      <c r="B76" s="1032"/>
      <c r="C76" s="141" t="s">
        <v>344</v>
      </c>
      <c r="D76" s="130" t="s">
        <v>149</v>
      </c>
      <c r="E76" s="130" t="s">
        <v>174</v>
      </c>
      <c r="F76" s="130" t="s">
        <v>203</v>
      </c>
      <c r="G76" s="130" t="s">
        <v>175</v>
      </c>
      <c r="H76" s="130">
        <v>1392</v>
      </c>
      <c r="I76" s="345">
        <v>43228</v>
      </c>
      <c r="J76" s="130">
        <v>5</v>
      </c>
      <c r="K76" s="347"/>
      <c r="L76" s="347"/>
      <c r="M76" s="344">
        <v>8.7999999999999995E-2</v>
      </c>
      <c r="N76" s="130">
        <v>7.0000000000000007E-2</v>
      </c>
      <c r="O76" s="344">
        <f t="shared" si="2"/>
        <v>5.0000879999999999</v>
      </c>
      <c r="P76" s="146">
        <f t="shared" si="11"/>
        <v>5.00007</v>
      </c>
      <c r="Q76" s="344">
        <f t="shared" si="12"/>
        <v>-1.0392304845327509E-2</v>
      </c>
      <c r="R76" s="133">
        <v>5.2999999999999999E-2</v>
      </c>
      <c r="S76" s="131">
        <f t="shared" si="13"/>
        <v>0.88975669159417592</v>
      </c>
      <c r="T76" s="130" t="str">
        <f t="shared" si="14"/>
        <v>M-016</v>
      </c>
      <c r="U76" s="675" t="s">
        <v>201</v>
      </c>
      <c r="V76" s="1056"/>
      <c r="AC76" s="79"/>
      <c r="AD76" s="79"/>
      <c r="AE76" s="79"/>
      <c r="AF76" s="79"/>
      <c r="AG76" s="79"/>
      <c r="AH76" s="79"/>
      <c r="AI76" s="79"/>
      <c r="AJ76" s="79"/>
      <c r="AK76" s="79"/>
      <c r="AL76" s="79"/>
      <c r="AM76" s="79"/>
      <c r="AN76" s="79"/>
      <c r="AO76" s="79"/>
      <c r="AP76" s="79"/>
      <c r="AQ76" s="79"/>
      <c r="AR76" s="79"/>
      <c r="AS76" s="79"/>
      <c r="AT76" s="79"/>
      <c r="AU76" s="79"/>
      <c r="AV76" s="79"/>
      <c r="AW76" s="79"/>
      <c r="AX76" s="79"/>
    </row>
    <row r="77" spans="2:50" ht="30" customHeight="1" x14ac:dyDescent="0.2">
      <c r="B77" s="1032"/>
      <c r="C77" s="141" t="s">
        <v>345</v>
      </c>
      <c r="D77" s="130" t="s">
        <v>149</v>
      </c>
      <c r="E77" s="130" t="s">
        <v>174</v>
      </c>
      <c r="F77" s="130" t="s">
        <v>203</v>
      </c>
      <c r="G77" s="130" t="s">
        <v>175</v>
      </c>
      <c r="H77" s="130">
        <v>1392</v>
      </c>
      <c r="I77" s="345">
        <v>43228</v>
      </c>
      <c r="J77" s="130">
        <v>10</v>
      </c>
      <c r="K77" s="347"/>
      <c r="L77" s="347"/>
      <c r="M77" s="344">
        <v>8.7999999999999995E-2</v>
      </c>
      <c r="N77" s="130">
        <v>0.09</v>
      </c>
      <c r="O77" s="344">
        <f t="shared" si="2"/>
        <v>10.000088</v>
      </c>
      <c r="P77" s="146">
        <f t="shared" si="11"/>
        <v>10.00009</v>
      </c>
      <c r="Q77" s="344">
        <f t="shared" si="12"/>
        <v>1.1547005385406533E-3</v>
      </c>
      <c r="R77" s="133">
        <v>0.06</v>
      </c>
      <c r="S77" s="131">
        <f t="shared" si="13"/>
        <v>0.88975669159417592</v>
      </c>
      <c r="T77" s="130" t="str">
        <f t="shared" si="14"/>
        <v>M-016</v>
      </c>
      <c r="U77" s="675" t="s">
        <v>201</v>
      </c>
      <c r="V77" s="1056"/>
      <c r="AC77" s="79"/>
      <c r="AD77" s="79"/>
      <c r="AE77" s="79"/>
      <c r="AF77" s="79"/>
      <c r="AG77" s="79"/>
      <c r="AH77" s="79"/>
      <c r="AI77" s="79"/>
      <c r="AJ77" s="79"/>
      <c r="AK77" s="79"/>
      <c r="AL77" s="79"/>
      <c r="AM77" s="79"/>
      <c r="AN77" s="79"/>
      <c r="AO77" s="79"/>
      <c r="AP77" s="79"/>
      <c r="AQ77" s="79"/>
      <c r="AR77" s="79"/>
      <c r="AS77" s="79"/>
      <c r="AT77" s="79"/>
      <c r="AU77" s="79"/>
      <c r="AV77" s="79"/>
      <c r="AW77" s="79"/>
      <c r="AX77" s="79"/>
    </row>
    <row r="78" spans="2:50" ht="30" customHeight="1" x14ac:dyDescent="0.2">
      <c r="B78" s="1032"/>
      <c r="C78" s="141" t="s">
        <v>346</v>
      </c>
      <c r="D78" s="130" t="s">
        <v>149</v>
      </c>
      <c r="E78" s="130" t="s">
        <v>174</v>
      </c>
      <c r="F78" s="130" t="s">
        <v>203</v>
      </c>
      <c r="G78" s="130" t="s">
        <v>175</v>
      </c>
      <c r="H78" s="130">
        <v>1392</v>
      </c>
      <c r="I78" s="345">
        <v>43228</v>
      </c>
      <c r="J78" s="130">
        <v>20</v>
      </c>
      <c r="K78" s="347"/>
      <c r="L78" s="347"/>
      <c r="M78" s="344">
        <v>9.2999999999999999E-2</v>
      </c>
      <c r="N78" s="130">
        <v>0.11</v>
      </c>
      <c r="O78" s="344">
        <f t="shared" si="2"/>
        <v>20.000093</v>
      </c>
      <c r="P78" s="146">
        <f t="shared" si="11"/>
        <v>20.000109999999999</v>
      </c>
      <c r="Q78" s="344">
        <f t="shared" si="12"/>
        <v>9.8149545760571836E-3</v>
      </c>
      <c r="R78" s="133">
        <v>8.3000000000000004E-2</v>
      </c>
      <c r="S78" s="131">
        <f t="shared" si="13"/>
        <v>0.88975669159417592</v>
      </c>
      <c r="T78" s="130" t="str">
        <f t="shared" si="14"/>
        <v>M-016</v>
      </c>
      <c r="U78" s="675" t="s">
        <v>201</v>
      </c>
      <c r="V78" s="1056"/>
      <c r="AC78" s="79"/>
      <c r="AD78" s="79"/>
      <c r="AE78" s="79"/>
      <c r="AF78" s="79"/>
      <c r="AG78" s="79"/>
      <c r="AH78" s="79"/>
      <c r="AI78" s="79"/>
      <c r="AJ78" s="79"/>
      <c r="AK78" s="79"/>
      <c r="AL78" s="79"/>
      <c r="AM78" s="79"/>
      <c r="AN78" s="79"/>
      <c r="AO78" s="79"/>
      <c r="AP78" s="79"/>
      <c r="AQ78" s="79"/>
      <c r="AR78" s="79"/>
      <c r="AS78" s="79"/>
      <c r="AT78" s="79"/>
      <c r="AU78" s="79"/>
      <c r="AV78" s="79"/>
      <c r="AW78" s="79"/>
      <c r="AX78" s="79"/>
    </row>
    <row r="79" spans="2:50" ht="30" customHeight="1" x14ac:dyDescent="0.2">
      <c r="B79" s="1032"/>
      <c r="C79" s="141" t="s">
        <v>347</v>
      </c>
      <c r="D79" s="130" t="s">
        <v>149</v>
      </c>
      <c r="E79" s="130" t="s">
        <v>174</v>
      </c>
      <c r="F79" s="130" t="s">
        <v>203</v>
      </c>
      <c r="G79" s="130" t="s">
        <v>177</v>
      </c>
      <c r="H79" s="130">
        <v>1392</v>
      </c>
      <c r="I79" s="345">
        <v>43228</v>
      </c>
      <c r="J79" s="130">
        <v>20</v>
      </c>
      <c r="K79" s="347"/>
      <c r="L79" s="347"/>
      <c r="M79" s="344">
        <v>9.0999999999999998E-2</v>
      </c>
      <c r="N79" s="133">
        <v>0.1</v>
      </c>
      <c r="O79" s="344">
        <f t="shared" si="2"/>
        <v>20.000091000000001</v>
      </c>
      <c r="P79" s="146">
        <f t="shared" si="11"/>
        <v>20.0001</v>
      </c>
      <c r="Q79" s="344">
        <f t="shared" si="12"/>
        <v>5.1961524218945695E-3</v>
      </c>
      <c r="R79" s="133">
        <v>8.3000000000000004E-2</v>
      </c>
      <c r="S79" s="131">
        <f t="shared" si="13"/>
        <v>0.88975669159417592</v>
      </c>
      <c r="T79" s="130" t="str">
        <f t="shared" si="14"/>
        <v>M-016</v>
      </c>
      <c r="U79" s="675" t="s">
        <v>201</v>
      </c>
      <c r="V79" s="1056"/>
      <c r="AC79" s="79"/>
      <c r="AD79" s="79"/>
      <c r="AE79" s="79"/>
      <c r="AF79" s="79"/>
      <c r="AG79" s="79"/>
      <c r="AH79" s="79"/>
      <c r="AI79" s="79"/>
      <c r="AJ79" s="79"/>
      <c r="AK79" s="79"/>
      <c r="AL79" s="79"/>
      <c r="AM79" s="79"/>
      <c r="AN79" s="79"/>
      <c r="AO79" s="79"/>
      <c r="AP79" s="79"/>
      <c r="AQ79" s="79"/>
      <c r="AR79" s="79"/>
      <c r="AS79" s="79"/>
      <c r="AT79" s="79"/>
      <c r="AU79" s="79"/>
      <c r="AV79" s="79"/>
      <c r="AW79" s="79"/>
      <c r="AX79" s="79"/>
    </row>
    <row r="80" spans="2:50" ht="30" customHeight="1" x14ac:dyDescent="0.2">
      <c r="B80" s="1032"/>
      <c r="C80" s="141" t="s">
        <v>348</v>
      </c>
      <c r="D80" s="130" t="s">
        <v>149</v>
      </c>
      <c r="E80" s="130" t="s">
        <v>174</v>
      </c>
      <c r="F80" s="130" t="s">
        <v>203</v>
      </c>
      <c r="G80" s="130" t="s">
        <v>175</v>
      </c>
      <c r="H80" s="130">
        <v>1392</v>
      </c>
      <c r="I80" s="345">
        <v>43228</v>
      </c>
      <c r="J80" s="130">
        <v>50</v>
      </c>
      <c r="K80" s="347"/>
      <c r="L80" s="347"/>
      <c r="M80" s="344">
        <v>0.08</v>
      </c>
      <c r="N80" s="133">
        <v>0.1</v>
      </c>
      <c r="O80" s="344">
        <f t="shared" si="2"/>
        <v>50.000079999999997</v>
      </c>
      <c r="P80" s="142">
        <f t="shared" si="11"/>
        <v>50.000100000000003</v>
      </c>
      <c r="Q80" s="344">
        <f t="shared" si="12"/>
        <v>1.1547005387457693E-2</v>
      </c>
      <c r="R80" s="133">
        <v>0.1</v>
      </c>
      <c r="S80" s="131">
        <f t="shared" si="13"/>
        <v>0.88975669159417592</v>
      </c>
      <c r="T80" s="130" t="str">
        <f t="shared" si="14"/>
        <v>M-016</v>
      </c>
      <c r="U80" s="675" t="s">
        <v>201</v>
      </c>
      <c r="V80" s="1056"/>
      <c r="AC80" s="79"/>
      <c r="AD80" s="79"/>
      <c r="AE80" s="79"/>
      <c r="AF80" s="79"/>
      <c r="AG80" s="79"/>
      <c r="AH80" s="79"/>
      <c r="AI80" s="79"/>
      <c r="AJ80" s="79"/>
      <c r="AK80" s="79"/>
      <c r="AL80" s="79"/>
      <c r="AM80" s="79"/>
      <c r="AN80" s="79"/>
      <c r="AO80" s="79"/>
      <c r="AP80" s="79"/>
      <c r="AQ80" s="79"/>
      <c r="AR80" s="79"/>
      <c r="AS80" s="79"/>
      <c r="AT80" s="79"/>
      <c r="AU80" s="79"/>
      <c r="AV80" s="79"/>
      <c r="AW80" s="79"/>
      <c r="AX80" s="79"/>
    </row>
    <row r="81" spans="2:50" ht="30" customHeight="1" x14ac:dyDescent="0.2">
      <c r="B81" s="1032"/>
      <c r="C81" s="141" t="s">
        <v>349</v>
      </c>
      <c r="D81" s="130" t="s">
        <v>149</v>
      </c>
      <c r="E81" s="130" t="s">
        <v>174</v>
      </c>
      <c r="F81" s="130" t="s">
        <v>203</v>
      </c>
      <c r="G81" s="130" t="s">
        <v>175</v>
      </c>
      <c r="H81" s="130">
        <v>1392</v>
      </c>
      <c r="I81" s="345">
        <v>43228</v>
      </c>
      <c r="J81" s="130">
        <v>100</v>
      </c>
      <c r="K81" s="347"/>
      <c r="L81" s="347"/>
      <c r="M81" s="344">
        <v>0.08</v>
      </c>
      <c r="N81" s="130">
        <v>0.12</v>
      </c>
      <c r="O81" s="344">
        <f t="shared" si="2"/>
        <v>100.00008</v>
      </c>
      <c r="P81" s="142">
        <f t="shared" si="11"/>
        <v>100.00012</v>
      </c>
      <c r="Q81" s="344">
        <f t="shared" si="12"/>
        <v>2.3094010766710745E-2</v>
      </c>
      <c r="R81" s="130">
        <v>0.16</v>
      </c>
      <c r="S81" s="131">
        <f t="shared" si="13"/>
        <v>0.88975669159417592</v>
      </c>
      <c r="T81" s="130" t="str">
        <f t="shared" si="14"/>
        <v>M-016</v>
      </c>
      <c r="U81" s="675" t="s">
        <v>201</v>
      </c>
      <c r="V81" s="1056"/>
      <c r="AC81" s="79"/>
      <c r="AD81" s="79"/>
      <c r="AE81" s="79"/>
      <c r="AF81" s="79"/>
      <c r="AG81" s="79"/>
      <c r="AH81" s="79"/>
      <c r="AI81" s="79"/>
      <c r="AJ81" s="79"/>
      <c r="AK81" s="79"/>
      <c r="AV81" s="79"/>
      <c r="AW81" s="79"/>
      <c r="AX81" s="79"/>
    </row>
    <row r="82" spans="2:50" ht="30" customHeight="1" x14ac:dyDescent="0.2">
      <c r="B82" s="1032"/>
      <c r="C82" s="141" t="s">
        <v>350</v>
      </c>
      <c r="D82" s="130" t="s">
        <v>149</v>
      </c>
      <c r="E82" s="130" t="s">
        <v>174</v>
      </c>
      <c r="F82" s="130" t="s">
        <v>203</v>
      </c>
      <c r="G82" s="130" t="s">
        <v>175</v>
      </c>
      <c r="H82" s="130">
        <v>1392</v>
      </c>
      <c r="I82" s="345">
        <v>43228</v>
      </c>
      <c r="J82" s="130">
        <v>200</v>
      </c>
      <c r="K82" s="347"/>
      <c r="L82" s="347"/>
      <c r="M82" s="344">
        <v>0.28999999999999998</v>
      </c>
      <c r="N82" s="130">
        <v>0.3</v>
      </c>
      <c r="O82" s="344">
        <f t="shared" si="2"/>
        <v>200.00029000000001</v>
      </c>
      <c r="P82" s="142">
        <f t="shared" si="11"/>
        <v>200.00030000000001</v>
      </c>
      <c r="Q82" s="344">
        <f t="shared" si="12"/>
        <v>5.7735026937288467E-3</v>
      </c>
      <c r="R82" s="132">
        <v>0.33</v>
      </c>
      <c r="S82" s="131">
        <f t="shared" si="13"/>
        <v>0.88975669159417592</v>
      </c>
      <c r="T82" s="130" t="str">
        <f t="shared" si="14"/>
        <v>M-016</v>
      </c>
      <c r="U82" s="675" t="s">
        <v>201</v>
      </c>
      <c r="V82" s="1056"/>
      <c r="AC82" s="79"/>
      <c r="AD82" s="79"/>
      <c r="AE82" s="79"/>
      <c r="AF82" s="79"/>
      <c r="AG82" s="79"/>
      <c r="AH82" s="79"/>
      <c r="AI82" s="79"/>
      <c r="AJ82" s="79"/>
      <c r="AK82" s="79"/>
      <c r="AV82" s="79"/>
      <c r="AW82" s="79"/>
      <c r="AX82" s="79"/>
    </row>
    <row r="83" spans="2:50" ht="30" customHeight="1" x14ac:dyDescent="0.2">
      <c r="B83" s="1032"/>
      <c r="C83" s="141" t="s">
        <v>351</v>
      </c>
      <c r="D83" s="130" t="s">
        <v>149</v>
      </c>
      <c r="E83" s="130" t="s">
        <v>174</v>
      </c>
      <c r="F83" s="130" t="s">
        <v>203</v>
      </c>
      <c r="G83" s="130" t="s">
        <v>177</v>
      </c>
      <c r="H83" s="130">
        <v>1392</v>
      </c>
      <c r="I83" s="345">
        <v>43228</v>
      </c>
      <c r="J83" s="130">
        <v>200</v>
      </c>
      <c r="K83" s="347"/>
      <c r="L83" s="347"/>
      <c r="M83" s="344">
        <v>0.33</v>
      </c>
      <c r="N83" s="130">
        <v>0.4</v>
      </c>
      <c r="O83" s="344">
        <f t="shared" si="2"/>
        <v>200.00032999999999</v>
      </c>
      <c r="P83" s="142">
        <f t="shared" si="11"/>
        <v>200.00040000000001</v>
      </c>
      <c r="Q83" s="344">
        <f t="shared" si="12"/>
        <v>4.0414518856101929E-2</v>
      </c>
      <c r="R83" s="132">
        <v>0.33</v>
      </c>
      <c r="S83" s="131">
        <f t="shared" si="13"/>
        <v>0.88975669159417592</v>
      </c>
      <c r="T83" s="130" t="str">
        <f t="shared" si="14"/>
        <v>M-016</v>
      </c>
      <c r="U83" s="675" t="s">
        <v>201</v>
      </c>
      <c r="V83" s="1056"/>
      <c r="AC83" s="79"/>
      <c r="AD83" s="79"/>
      <c r="AE83" s="79"/>
      <c r="AF83" s="79"/>
      <c r="AG83" s="79"/>
      <c r="AH83" s="79"/>
      <c r="AI83" s="79"/>
      <c r="AJ83" s="79"/>
      <c r="AK83" s="79"/>
      <c r="AV83" s="79"/>
      <c r="AW83" s="79"/>
      <c r="AX83" s="79"/>
    </row>
    <row r="84" spans="2:50" ht="30" customHeight="1" x14ac:dyDescent="0.2">
      <c r="B84" s="1032"/>
      <c r="C84" s="141" t="s">
        <v>352</v>
      </c>
      <c r="D84" s="130" t="s">
        <v>149</v>
      </c>
      <c r="E84" s="130" t="s">
        <v>174</v>
      </c>
      <c r="F84" s="130" t="s">
        <v>203</v>
      </c>
      <c r="G84" s="130" t="s">
        <v>175</v>
      </c>
      <c r="H84" s="130">
        <v>1392</v>
      </c>
      <c r="I84" s="345">
        <v>43228</v>
      </c>
      <c r="J84" s="130">
        <v>500</v>
      </c>
      <c r="K84" s="347"/>
      <c r="L84" s="347"/>
      <c r="M84" s="344">
        <v>0.94</v>
      </c>
      <c r="N84" s="130">
        <v>0.9</v>
      </c>
      <c r="O84" s="344">
        <f t="shared" si="2"/>
        <v>500.00094000000001</v>
      </c>
      <c r="P84" s="142">
        <f t="shared" si="11"/>
        <v>500.0009</v>
      </c>
      <c r="Q84" s="344">
        <f t="shared" si="12"/>
        <v>-2.3094010774915387E-2</v>
      </c>
      <c r="R84" s="132">
        <v>0.83</v>
      </c>
      <c r="S84" s="131">
        <f t="shared" si="13"/>
        <v>0.88975669159417592</v>
      </c>
      <c r="T84" s="130" t="str">
        <f t="shared" si="14"/>
        <v>M-016</v>
      </c>
      <c r="U84" s="675" t="s">
        <v>201</v>
      </c>
      <c r="V84" s="1056"/>
      <c r="AC84" s="79"/>
      <c r="AD84" s="79"/>
      <c r="AE84" s="79"/>
      <c r="AF84" s="79"/>
      <c r="AG84" s="79"/>
      <c r="AH84" s="79"/>
      <c r="AI84" s="79"/>
      <c r="AJ84" s="79"/>
      <c r="AK84" s="79"/>
      <c r="AV84" s="79"/>
      <c r="AW84" s="79"/>
      <c r="AX84" s="79"/>
    </row>
    <row r="85" spans="2:50" ht="30" customHeight="1" x14ac:dyDescent="0.2">
      <c r="B85" s="1032"/>
      <c r="C85" s="141" t="s">
        <v>353</v>
      </c>
      <c r="D85" s="130" t="s">
        <v>149</v>
      </c>
      <c r="E85" s="130" t="s">
        <v>174</v>
      </c>
      <c r="F85" s="130" t="s">
        <v>203</v>
      </c>
      <c r="G85" s="130" t="s">
        <v>175</v>
      </c>
      <c r="H85" s="130">
        <v>1392</v>
      </c>
      <c r="I85" s="345">
        <v>43228</v>
      </c>
      <c r="J85" s="346">
        <v>1000</v>
      </c>
      <c r="K85" s="347"/>
      <c r="L85" s="347"/>
      <c r="M85" s="408">
        <v>0</v>
      </c>
      <c r="N85" s="132">
        <v>-0.5</v>
      </c>
      <c r="O85" s="344">
        <f t="shared" si="2"/>
        <v>1000</v>
      </c>
      <c r="P85" s="131">
        <f t="shared" si="11"/>
        <v>999.99950000000001</v>
      </c>
      <c r="Q85" s="344">
        <f t="shared" si="12"/>
        <v>-0.28867513458798666</v>
      </c>
      <c r="R85" s="130">
        <v>1.6</v>
      </c>
      <c r="S85" s="131">
        <f t="shared" si="13"/>
        <v>0.88975669159417592</v>
      </c>
      <c r="T85" s="130" t="str">
        <f t="shared" si="14"/>
        <v>M-016</v>
      </c>
      <c r="U85" s="675" t="s">
        <v>201</v>
      </c>
      <c r="V85" s="1056"/>
      <c r="AC85" s="79"/>
      <c r="AD85" s="79"/>
      <c r="AE85" s="79"/>
      <c r="AF85" s="79"/>
      <c r="AG85" s="79"/>
      <c r="AH85" s="79"/>
      <c r="AI85" s="79"/>
      <c r="AJ85" s="79"/>
      <c r="AK85" s="79"/>
      <c r="AV85" s="79"/>
      <c r="AW85" s="79"/>
      <c r="AX85" s="79"/>
    </row>
    <row r="86" spans="2:50" ht="30" customHeight="1" x14ac:dyDescent="0.2">
      <c r="B86" s="1032"/>
      <c r="C86" s="141" t="s">
        <v>354</v>
      </c>
      <c r="D86" s="130" t="s">
        <v>149</v>
      </c>
      <c r="E86" s="130" t="s">
        <v>174</v>
      </c>
      <c r="F86" s="130" t="s">
        <v>203</v>
      </c>
      <c r="G86" s="130" t="s">
        <v>175</v>
      </c>
      <c r="H86" s="130">
        <v>1392</v>
      </c>
      <c r="I86" s="345">
        <v>43228</v>
      </c>
      <c r="J86" s="346">
        <v>2000</v>
      </c>
      <c r="K86" s="347"/>
      <c r="L86" s="347"/>
      <c r="M86" s="408">
        <v>3</v>
      </c>
      <c r="N86" s="132">
        <v>3.1</v>
      </c>
      <c r="O86" s="344">
        <f t="shared" si="2"/>
        <v>2000.0029999999999</v>
      </c>
      <c r="P86" s="131">
        <f t="shared" si="11"/>
        <v>2000.0030999999999</v>
      </c>
      <c r="Q86" s="344">
        <f t="shared" si="12"/>
        <v>5.7735026904469904E-2</v>
      </c>
      <c r="R86" s="132">
        <v>3</v>
      </c>
      <c r="S86" s="131">
        <f t="shared" si="13"/>
        <v>0.88975669159417592</v>
      </c>
      <c r="T86" s="130" t="str">
        <f t="shared" si="14"/>
        <v>M-016</v>
      </c>
      <c r="U86" s="675" t="s">
        <v>201</v>
      </c>
      <c r="V86" s="1056"/>
      <c r="AC86" s="79"/>
      <c r="AD86" s="79"/>
      <c r="AE86" s="79"/>
      <c r="AF86" s="79"/>
      <c r="AG86" s="79"/>
      <c r="AH86" s="79"/>
      <c r="AI86" s="79"/>
      <c r="AJ86" s="79"/>
      <c r="AK86" s="79"/>
      <c r="AV86" s="79"/>
      <c r="AW86" s="79"/>
      <c r="AX86" s="79"/>
    </row>
    <row r="87" spans="2:50" ht="30" customHeight="1" x14ac:dyDescent="0.2">
      <c r="B87" s="1032"/>
      <c r="C87" s="141" t="s">
        <v>355</v>
      </c>
      <c r="D87" s="130" t="s">
        <v>149</v>
      </c>
      <c r="E87" s="130" t="s">
        <v>174</v>
      </c>
      <c r="F87" s="130" t="s">
        <v>203</v>
      </c>
      <c r="G87" s="130" t="s">
        <v>177</v>
      </c>
      <c r="H87" s="130">
        <v>1392</v>
      </c>
      <c r="I87" s="345">
        <v>43228</v>
      </c>
      <c r="J87" s="346">
        <v>2000</v>
      </c>
      <c r="K87" s="347"/>
      <c r="L87" s="347"/>
      <c r="M87" s="344">
        <v>3.9</v>
      </c>
      <c r="N87" s="130">
        <v>3.2</v>
      </c>
      <c r="O87" s="344">
        <f t="shared" si="2"/>
        <v>2000.0038999999999</v>
      </c>
      <c r="P87" s="131">
        <f t="shared" si="11"/>
        <v>2000.0032000000001</v>
      </c>
      <c r="Q87" s="344">
        <f t="shared" si="12"/>
        <v>-0.40414518833128932</v>
      </c>
      <c r="R87" s="132">
        <v>3</v>
      </c>
      <c r="S87" s="131">
        <f t="shared" si="13"/>
        <v>0.88975669159417592</v>
      </c>
      <c r="T87" s="130" t="str">
        <f t="shared" si="14"/>
        <v>M-016</v>
      </c>
      <c r="U87" s="675" t="s">
        <v>201</v>
      </c>
      <c r="V87" s="1056"/>
      <c r="AC87" s="79"/>
      <c r="AD87" s="79"/>
      <c r="AE87" s="79"/>
      <c r="AF87" s="79"/>
      <c r="AG87" s="79"/>
      <c r="AH87" s="79"/>
      <c r="AI87" s="79"/>
      <c r="AJ87" s="79"/>
      <c r="AK87" s="79"/>
      <c r="AV87" s="79"/>
      <c r="AW87" s="79"/>
      <c r="AX87" s="79"/>
    </row>
    <row r="88" spans="2:50" ht="30" customHeight="1" thickBot="1" x14ac:dyDescent="0.25">
      <c r="B88" s="1033"/>
      <c r="C88" s="143" t="s">
        <v>356</v>
      </c>
      <c r="D88" s="134" t="s">
        <v>149</v>
      </c>
      <c r="E88" s="134" t="s">
        <v>174</v>
      </c>
      <c r="F88" s="134" t="s">
        <v>203</v>
      </c>
      <c r="G88" s="134" t="s">
        <v>175</v>
      </c>
      <c r="H88" s="134">
        <v>1392</v>
      </c>
      <c r="I88" s="349">
        <v>43228</v>
      </c>
      <c r="J88" s="352">
        <v>5000</v>
      </c>
      <c r="K88" s="353"/>
      <c r="L88" s="353"/>
      <c r="M88" s="413">
        <v>7.7</v>
      </c>
      <c r="N88" s="134">
        <v>7.9</v>
      </c>
      <c r="O88" s="413">
        <f t="shared" si="2"/>
        <v>5000.0077000000001</v>
      </c>
      <c r="P88" s="135">
        <f t="shared" si="11"/>
        <v>5000.0078999999996</v>
      </c>
      <c r="Q88" s="413">
        <f t="shared" si="12"/>
        <v>0.1154700535463913</v>
      </c>
      <c r="R88" s="144">
        <v>8</v>
      </c>
      <c r="S88" s="135">
        <f t="shared" si="13"/>
        <v>0.88975669159417592</v>
      </c>
      <c r="T88" s="134" t="str">
        <f t="shared" si="14"/>
        <v>M-016</v>
      </c>
      <c r="U88" s="676" t="s">
        <v>201</v>
      </c>
      <c r="V88" s="1057"/>
      <c r="AC88" s="79"/>
      <c r="AD88" s="79"/>
      <c r="AE88" s="79"/>
      <c r="AF88" s="79"/>
      <c r="AG88" s="79"/>
      <c r="AH88" s="79"/>
      <c r="AI88" s="79"/>
      <c r="AJ88" s="79"/>
      <c r="AK88" s="79"/>
      <c r="AV88" s="79"/>
      <c r="AW88" s="79"/>
      <c r="AX88" s="79"/>
    </row>
    <row r="89" spans="2:50" ht="30" customHeight="1" x14ac:dyDescent="0.2">
      <c r="B89" s="80"/>
      <c r="U89" s="61"/>
      <c r="V89" s="79"/>
      <c r="W89" s="79"/>
      <c r="X89" s="79"/>
      <c r="Y89" s="79"/>
      <c r="Z89" s="79"/>
      <c r="AA89" s="79"/>
      <c r="AB89" s="79"/>
      <c r="AC89" s="79"/>
      <c r="AD89" s="79"/>
      <c r="AE89" s="79"/>
      <c r="AF89" s="79"/>
      <c r="AG89" s="79"/>
      <c r="AH89" s="79"/>
      <c r="AI89" s="79"/>
      <c r="AJ89" s="79"/>
      <c r="AK89" s="79"/>
      <c r="AV89" s="79"/>
      <c r="AW89" s="79"/>
      <c r="AX89" s="79"/>
    </row>
    <row r="90" spans="2:50" ht="30" customHeight="1" x14ac:dyDescent="0.2">
      <c r="B90" s="80"/>
      <c r="U90" s="61"/>
      <c r="V90" s="79"/>
      <c r="W90" s="79"/>
      <c r="X90" s="79"/>
      <c r="Y90" s="79"/>
      <c r="Z90" s="79"/>
      <c r="AA90" s="79"/>
      <c r="AB90" s="79"/>
      <c r="AC90" s="79"/>
      <c r="AD90" s="79"/>
      <c r="AE90" s="79"/>
      <c r="AF90" s="79"/>
      <c r="AG90" s="79"/>
      <c r="AH90" s="79"/>
      <c r="AI90" s="79"/>
      <c r="AJ90" s="79"/>
      <c r="AK90" s="79"/>
      <c r="AV90" s="79"/>
      <c r="AW90" s="79"/>
      <c r="AX90" s="79"/>
    </row>
    <row r="91" spans="2:50" ht="30" customHeight="1" x14ac:dyDescent="0.2">
      <c r="O91" s="61"/>
      <c r="P91" s="61"/>
      <c r="Q91" s="61"/>
      <c r="R91" s="61"/>
      <c r="S91" s="61"/>
      <c r="T91" s="61"/>
      <c r="U91" s="61"/>
      <c r="Z91" s="79"/>
      <c r="AA91" s="79"/>
      <c r="AB91" s="79"/>
      <c r="AC91" s="79"/>
      <c r="AD91" s="79"/>
      <c r="AE91" s="79"/>
      <c r="AF91" s="79"/>
      <c r="AG91" s="79"/>
      <c r="AH91" s="79"/>
      <c r="AI91" s="79"/>
      <c r="AJ91" s="79"/>
      <c r="AK91" s="79"/>
      <c r="AV91" s="79"/>
      <c r="AW91" s="79"/>
      <c r="AX91" s="79"/>
    </row>
    <row r="92" spans="2:50" ht="30" customHeight="1" x14ac:dyDescent="0.2">
      <c r="O92" s="61"/>
      <c r="P92" s="61"/>
      <c r="Q92" s="61"/>
      <c r="R92" s="61"/>
      <c r="S92" s="61"/>
      <c r="T92" s="61"/>
      <c r="U92" s="61"/>
      <c r="Z92" s="79"/>
      <c r="AA92" s="79"/>
      <c r="AB92" s="79"/>
      <c r="AC92" s="79"/>
      <c r="AD92" s="79"/>
      <c r="AE92" s="79"/>
      <c r="AF92" s="79"/>
      <c r="AG92" s="79"/>
      <c r="AH92" s="79"/>
      <c r="AI92" s="79"/>
      <c r="AJ92" s="79"/>
      <c r="AK92" s="79"/>
      <c r="AV92" s="79"/>
      <c r="AW92" s="79"/>
      <c r="AX92" s="79"/>
    </row>
    <row r="93" spans="2:50" ht="30" customHeight="1" x14ac:dyDescent="0.2">
      <c r="O93" s="61"/>
      <c r="P93" s="61"/>
      <c r="Q93" s="61"/>
      <c r="R93" s="61"/>
      <c r="S93" s="61"/>
      <c r="T93" s="61"/>
      <c r="U93" s="61"/>
      <c r="Z93" s="79"/>
      <c r="AA93" s="79"/>
      <c r="AB93" s="79"/>
      <c r="AC93" s="79"/>
      <c r="AD93" s="79"/>
      <c r="AE93" s="79"/>
      <c r="AF93" s="79"/>
      <c r="AG93" s="79"/>
      <c r="AH93" s="79"/>
      <c r="AI93" s="79"/>
      <c r="AJ93" s="79"/>
      <c r="AK93" s="79"/>
      <c r="AV93" s="79"/>
      <c r="AW93" s="79"/>
      <c r="AX93" s="79"/>
    </row>
    <row r="94" spans="2:50" ht="30" customHeight="1" x14ac:dyDescent="0.2">
      <c r="O94" s="61"/>
      <c r="P94" s="61"/>
      <c r="Q94" s="61"/>
      <c r="R94" s="61"/>
      <c r="S94" s="61"/>
      <c r="T94" s="61"/>
      <c r="U94" s="61"/>
      <c r="Z94" s="79"/>
      <c r="AA94" s="79"/>
      <c r="AB94" s="79"/>
      <c r="AC94" s="79"/>
      <c r="AD94" s="79"/>
      <c r="AE94" s="79"/>
      <c r="AF94" s="79"/>
      <c r="AG94" s="79"/>
      <c r="AH94" s="79"/>
      <c r="AI94" s="79"/>
      <c r="AJ94" s="79"/>
      <c r="AK94" s="79"/>
      <c r="AV94" s="79"/>
      <c r="AW94" s="79"/>
      <c r="AX94" s="79"/>
    </row>
    <row r="95" spans="2:50" ht="30" customHeight="1" thickBot="1" x14ac:dyDescent="0.25">
      <c r="O95" s="61"/>
      <c r="P95" s="61"/>
      <c r="Q95" s="61"/>
      <c r="R95" s="61"/>
      <c r="S95" s="61"/>
      <c r="T95" s="61"/>
      <c r="U95" s="61"/>
      <c r="Z95" s="79"/>
      <c r="AA95" s="79"/>
      <c r="AB95" s="79"/>
      <c r="AC95" s="79"/>
      <c r="AD95" s="79"/>
      <c r="AE95" s="79"/>
      <c r="AF95" s="79"/>
      <c r="AG95" s="79"/>
      <c r="AH95" s="79"/>
      <c r="AI95" s="79"/>
      <c r="AJ95" s="79"/>
      <c r="AK95" s="79"/>
      <c r="AV95" s="79"/>
      <c r="AW95" s="79"/>
      <c r="AX95" s="79"/>
    </row>
    <row r="96" spans="2:50" ht="30" customHeight="1" x14ac:dyDescent="0.2">
      <c r="B96" s="80"/>
      <c r="C96" s="917" t="s">
        <v>251</v>
      </c>
      <c r="D96" s="918"/>
      <c r="E96" s="918"/>
      <c r="F96" s="918"/>
      <c r="G96" s="918"/>
      <c r="H96" s="918"/>
      <c r="I96" s="918"/>
      <c r="J96" s="918"/>
      <c r="K96" s="918"/>
      <c r="L96" s="918"/>
      <c r="M96" s="918"/>
      <c r="N96" s="918"/>
      <c r="O96" s="918"/>
      <c r="P96" s="918"/>
      <c r="Q96" s="918"/>
      <c r="R96" s="918"/>
      <c r="S96" s="918"/>
      <c r="T96" s="919"/>
      <c r="U96" s="61"/>
      <c r="Z96" s="79"/>
      <c r="AA96" s="79"/>
      <c r="AB96" s="79"/>
      <c r="AC96" s="79"/>
      <c r="AD96" s="79"/>
      <c r="AE96" s="79"/>
      <c r="AF96" s="79"/>
      <c r="AG96" s="79"/>
      <c r="AH96" s="79"/>
      <c r="AI96" s="79"/>
      <c r="AJ96" s="79"/>
      <c r="AK96" s="79"/>
      <c r="AV96" s="79"/>
      <c r="AW96" s="79"/>
      <c r="AX96" s="79"/>
    </row>
    <row r="97" spans="1:50" ht="30" customHeight="1" thickBot="1" x14ac:dyDescent="0.25">
      <c r="B97" s="80"/>
      <c r="C97" s="920"/>
      <c r="D97" s="921"/>
      <c r="E97" s="921"/>
      <c r="F97" s="921"/>
      <c r="G97" s="921"/>
      <c r="H97" s="921"/>
      <c r="I97" s="921"/>
      <c r="J97" s="921"/>
      <c r="K97" s="921"/>
      <c r="L97" s="921"/>
      <c r="M97" s="921"/>
      <c r="N97" s="921"/>
      <c r="O97" s="921"/>
      <c r="P97" s="921"/>
      <c r="Q97" s="921"/>
      <c r="R97" s="921"/>
      <c r="S97" s="921"/>
      <c r="T97" s="922"/>
      <c r="U97" s="61"/>
      <c r="Z97" s="79"/>
      <c r="AA97" s="79"/>
      <c r="AB97" s="79"/>
      <c r="AC97" s="79"/>
      <c r="AD97" s="79"/>
      <c r="AE97" s="79"/>
      <c r="AF97" s="79"/>
      <c r="AG97" s="79"/>
      <c r="AH97" s="79"/>
      <c r="AI97" s="79"/>
      <c r="AJ97" s="79"/>
      <c r="AK97" s="79"/>
      <c r="AV97" s="79"/>
      <c r="AW97" s="79"/>
      <c r="AX97" s="79"/>
    </row>
    <row r="98" spans="1:50" ht="30" customHeight="1" thickBot="1" x14ac:dyDescent="0.25">
      <c r="B98" s="80"/>
      <c r="C98" s="923" t="s">
        <v>444</v>
      </c>
      <c r="D98" s="924"/>
      <c r="E98" s="924"/>
      <c r="F98" s="924"/>
      <c r="G98" s="924"/>
      <c r="H98" s="924"/>
      <c r="I98" s="924"/>
      <c r="J98" s="924"/>
      <c r="K98" s="924"/>
      <c r="L98" s="924"/>
      <c r="M98" s="924"/>
      <c r="N98" s="924"/>
      <c r="O98" s="924"/>
      <c r="P98" s="924"/>
      <c r="Q98" s="924"/>
      <c r="R98" s="924"/>
      <c r="S98" s="924"/>
      <c r="T98" s="925"/>
      <c r="U98" s="61"/>
      <c r="Z98" s="79"/>
      <c r="AA98" s="79"/>
      <c r="AB98" s="79"/>
      <c r="AC98" s="79"/>
      <c r="AD98" s="79"/>
      <c r="AE98" s="79"/>
      <c r="AF98" s="79"/>
      <c r="AG98" s="79"/>
      <c r="AH98" s="79"/>
      <c r="AI98" s="79"/>
      <c r="AJ98" s="79"/>
      <c r="AK98" s="79"/>
      <c r="AV98" s="79"/>
      <c r="AW98" s="79"/>
      <c r="AX98" s="79"/>
    </row>
    <row r="99" spans="1:50" ht="30" customHeight="1" x14ac:dyDescent="0.2">
      <c r="B99" s="80"/>
      <c r="C99" s="79"/>
      <c r="D99" s="926" t="s">
        <v>3</v>
      </c>
      <c r="E99" s="928" t="s">
        <v>182</v>
      </c>
      <c r="F99" s="928" t="s">
        <v>183</v>
      </c>
      <c r="G99" s="928" t="s">
        <v>184</v>
      </c>
      <c r="H99" s="928" t="s">
        <v>185</v>
      </c>
      <c r="I99" s="928" t="s">
        <v>186</v>
      </c>
      <c r="J99" s="928" t="s">
        <v>187</v>
      </c>
      <c r="K99" s="928" t="s">
        <v>188</v>
      </c>
      <c r="L99" s="992" t="s">
        <v>189</v>
      </c>
      <c r="O99" s="1062" t="s">
        <v>252</v>
      </c>
      <c r="P99" s="1063" t="s">
        <v>186</v>
      </c>
      <c r="Q99" s="1064"/>
      <c r="R99" s="1065"/>
      <c r="S99" s="990" t="s">
        <v>188</v>
      </c>
      <c r="T99" s="992" t="s">
        <v>189</v>
      </c>
      <c r="U99" s="61"/>
      <c r="Z99" s="79"/>
      <c r="AA99" s="79"/>
      <c r="AB99" s="79"/>
      <c r="AC99" s="79"/>
      <c r="AD99" s="79"/>
      <c r="AE99" s="79"/>
      <c r="AF99" s="79"/>
      <c r="AG99" s="79"/>
      <c r="AH99" s="79"/>
      <c r="AI99" s="79"/>
      <c r="AJ99" s="79"/>
      <c r="AK99" s="79"/>
      <c r="AV99" s="79"/>
      <c r="AW99" s="79"/>
      <c r="AX99" s="79"/>
    </row>
    <row r="100" spans="1:50" ht="30" customHeight="1" thickBot="1" x14ac:dyDescent="0.25">
      <c r="B100" s="80"/>
      <c r="C100" s="81"/>
      <c r="D100" s="927"/>
      <c r="E100" s="929"/>
      <c r="F100" s="929"/>
      <c r="G100" s="929"/>
      <c r="H100" s="929"/>
      <c r="I100" s="929"/>
      <c r="J100" s="929"/>
      <c r="K100" s="929"/>
      <c r="L100" s="993"/>
      <c r="O100" s="1062"/>
      <c r="P100" s="1063"/>
      <c r="Q100" s="1064"/>
      <c r="R100" s="1065"/>
      <c r="S100" s="991"/>
      <c r="T100" s="993"/>
      <c r="Z100" s="79"/>
      <c r="AA100" s="79"/>
      <c r="AB100" s="79"/>
      <c r="AC100" s="79"/>
      <c r="AD100" s="79"/>
      <c r="AE100" s="79"/>
      <c r="AF100" s="79"/>
      <c r="AG100" s="79"/>
      <c r="AH100" s="79"/>
      <c r="AI100" s="79"/>
      <c r="AJ100" s="79"/>
      <c r="AK100" s="79"/>
      <c r="AV100" s="79"/>
      <c r="AW100" s="79"/>
      <c r="AX100" s="79"/>
    </row>
    <row r="101" spans="1:50" ht="30" customHeight="1" thickBot="1" x14ac:dyDescent="0.25">
      <c r="A101" s="82"/>
      <c r="B101" s="83"/>
      <c r="C101" s="84"/>
      <c r="D101" s="84"/>
      <c r="E101" s="84"/>
      <c r="F101" s="84"/>
      <c r="G101" s="84"/>
      <c r="H101" s="84"/>
      <c r="I101" s="85"/>
      <c r="J101" s="85"/>
      <c r="K101" s="85"/>
      <c r="L101" s="85"/>
      <c r="O101" s="86"/>
      <c r="P101" s="86"/>
      <c r="Q101" s="86"/>
      <c r="R101" s="86"/>
      <c r="S101" s="87"/>
      <c r="T101" s="88"/>
      <c r="Z101" s="79"/>
      <c r="AA101" s="79"/>
      <c r="AB101" s="79"/>
      <c r="AC101" s="79"/>
      <c r="AD101" s="79"/>
      <c r="AE101" s="79"/>
      <c r="AF101" s="79"/>
      <c r="AG101" s="79"/>
      <c r="AH101" s="79"/>
      <c r="AI101" s="79"/>
      <c r="AJ101" s="79"/>
      <c r="AK101" s="79"/>
      <c r="AV101" s="79"/>
      <c r="AW101" s="79"/>
      <c r="AX101" s="79"/>
    </row>
    <row r="102" spans="1:50" ht="30" customHeight="1" x14ac:dyDescent="0.2">
      <c r="A102" s="964" t="s">
        <v>229</v>
      </c>
      <c r="B102" s="1000"/>
      <c r="C102" s="955" t="s">
        <v>231</v>
      </c>
      <c r="D102" s="1067" t="s">
        <v>190</v>
      </c>
      <c r="E102" s="904" t="s">
        <v>210</v>
      </c>
      <c r="F102" s="262">
        <v>15.4</v>
      </c>
      <c r="G102" s="263">
        <v>0.1</v>
      </c>
      <c r="H102" s="264">
        <v>-0.1</v>
      </c>
      <c r="I102" s="265">
        <v>0.3</v>
      </c>
      <c r="J102" s="994">
        <v>2</v>
      </c>
      <c r="K102" s="987">
        <v>43606</v>
      </c>
      <c r="L102" s="980" t="s">
        <v>318</v>
      </c>
      <c r="O102" s="128"/>
      <c r="P102" s="427" t="s">
        <v>227</v>
      </c>
      <c r="Q102" s="428" t="s">
        <v>441</v>
      </c>
      <c r="R102" s="428" t="s">
        <v>228</v>
      </c>
      <c r="S102" s="930" t="s">
        <v>445</v>
      </c>
      <c r="T102" s="1066" t="s">
        <v>448</v>
      </c>
      <c r="Z102" s="79"/>
      <c r="AA102" s="79"/>
      <c r="AB102" s="79"/>
      <c r="AC102" s="79"/>
      <c r="AD102" s="79"/>
      <c r="AE102" s="79"/>
      <c r="AF102" s="79"/>
      <c r="AG102" s="79"/>
      <c r="AH102" s="79"/>
      <c r="AI102" s="79"/>
      <c r="AJ102" s="79"/>
      <c r="AK102" s="79"/>
      <c r="AV102" s="79"/>
      <c r="AW102" s="79"/>
      <c r="AX102" s="79"/>
    </row>
    <row r="103" spans="1:50" ht="30" customHeight="1" x14ac:dyDescent="0.2">
      <c r="A103" s="1001"/>
      <c r="B103" s="1002"/>
      <c r="C103" s="956"/>
      <c r="D103" s="1068"/>
      <c r="E103" s="905"/>
      <c r="F103" s="266">
        <v>24.7</v>
      </c>
      <c r="G103" s="267">
        <v>0.1</v>
      </c>
      <c r="H103" s="268">
        <v>0</v>
      </c>
      <c r="I103" s="269">
        <v>0.3</v>
      </c>
      <c r="J103" s="995"/>
      <c r="K103" s="988"/>
      <c r="L103" s="981"/>
      <c r="O103" s="900" t="s">
        <v>236</v>
      </c>
      <c r="P103" s="343">
        <f>MAX(I102:I104)</f>
        <v>0.3</v>
      </c>
      <c r="Q103" s="343">
        <f>MAX(I105:I107)</f>
        <v>1.7</v>
      </c>
      <c r="R103" s="343">
        <f>MAX(I108:I110)</f>
        <v>0.31</v>
      </c>
      <c r="S103" s="931"/>
      <c r="T103" s="890"/>
      <c r="Z103" s="79"/>
      <c r="AA103" s="79"/>
      <c r="AB103" s="79"/>
      <c r="AC103" s="79"/>
      <c r="AD103" s="79"/>
      <c r="AE103" s="79"/>
      <c r="AF103" s="79"/>
      <c r="AG103" s="79"/>
      <c r="AH103" s="79"/>
      <c r="AI103" s="79"/>
      <c r="AJ103" s="79"/>
      <c r="AK103" s="79"/>
      <c r="AV103" s="79"/>
      <c r="AW103" s="79"/>
      <c r="AX103" s="79"/>
    </row>
    <row r="104" spans="1:50" ht="30" customHeight="1" thickBot="1" x14ac:dyDescent="0.25">
      <c r="A104" s="1003"/>
      <c r="B104" s="1004"/>
      <c r="C104" s="956"/>
      <c r="D104" s="1068"/>
      <c r="E104" s="905"/>
      <c r="F104" s="270">
        <v>29.4</v>
      </c>
      <c r="G104" s="271">
        <v>0.1</v>
      </c>
      <c r="H104" s="272">
        <v>0</v>
      </c>
      <c r="I104" s="273">
        <v>0.3</v>
      </c>
      <c r="J104" s="996"/>
      <c r="K104" s="989"/>
      <c r="L104" s="982"/>
      <c r="O104" s="901"/>
      <c r="P104" s="421"/>
      <c r="Q104" s="363"/>
      <c r="R104" s="363"/>
      <c r="S104" s="932"/>
      <c r="T104" s="891"/>
      <c r="Z104" s="79"/>
      <c r="AA104" s="79"/>
      <c r="AB104" s="79"/>
      <c r="AC104" s="79"/>
      <c r="AD104" s="79"/>
      <c r="AE104" s="79"/>
      <c r="AF104" s="79"/>
      <c r="AG104" s="79"/>
      <c r="AH104" s="79"/>
      <c r="AI104" s="79"/>
      <c r="AJ104" s="79"/>
      <c r="AK104" s="79"/>
      <c r="AV104" s="79"/>
      <c r="AW104" s="79"/>
      <c r="AX104" s="79"/>
    </row>
    <row r="105" spans="1:50" ht="30" customHeight="1" x14ac:dyDescent="0.2">
      <c r="A105" s="958" t="s">
        <v>230</v>
      </c>
      <c r="B105" s="970"/>
      <c r="C105" s="956"/>
      <c r="D105" s="1068"/>
      <c r="E105" s="905"/>
      <c r="F105" s="262">
        <v>33.200000000000003</v>
      </c>
      <c r="G105" s="263">
        <v>0.1</v>
      </c>
      <c r="H105" s="263">
        <v>-3.2</v>
      </c>
      <c r="I105" s="274">
        <v>1.7</v>
      </c>
      <c r="J105" s="997">
        <v>2</v>
      </c>
      <c r="K105" s="998">
        <v>43608</v>
      </c>
      <c r="L105" s="983" t="s">
        <v>319</v>
      </c>
      <c r="O105" s="61"/>
      <c r="P105" s="61"/>
      <c r="Q105" s="61"/>
      <c r="R105" s="61"/>
      <c r="S105" s="61"/>
      <c r="T105" s="61"/>
      <c r="Z105" s="79"/>
      <c r="AA105" s="79"/>
      <c r="AB105" s="79"/>
      <c r="AC105" s="79"/>
      <c r="AD105" s="79"/>
      <c r="AE105" s="79"/>
      <c r="AF105" s="79"/>
      <c r="AG105" s="79"/>
      <c r="AH105" s="79"/>
      <c r="AI105" s="79"/>
      <c r="AJ105" s="79"/>
      <c r="AK105" s="79"/>
      <c r="AV105" s="79"/>
      <c r="AW105" s="79"/>
      <c r="AX105" s="79"/>
    </row>
    <row r="106" spans="1:50" ht="30" customHeight="1" x14ac:dyDescent="0.2">
      <c r="A106" s="960"/>
      <c r="B106" s="971"/>
      <c r="C106" s="956"/>
      <c r="D106" s="1068"/>
      <c r="E106" s="905"/>
      <c r="F106" s="275">
        <v>51.2</v>
      </c>
      <c r="G106" s="267">
        <v>0.1</v>
      </c>
      <c r="H106" s="276">
        <v>-1.2</v>
      </c>
      <c r="I106" s="269">
        <v>1.7</v>
      </c>
      <c r="J106" s="995"/>
      <c r="K106" s="988"/>
      <c r="L106" s="981"/>
      <c r="O106" s="61"/>
      <c r="P106" s="61"/>
      <c r="Q106" s="61"/>
      <c r="R106" s="61"/>
      <c r="S106" s="61"/>
      <c r="T106" s="61"/>
      <c r="Z106" s="79"/>
      <c r="AA106" s="79"/>
      <c r="AB106" s="79"/>
      <c r="AC106" s="79"/>
      <c r="AD106" s="79"/>
      <c r="AE106" s="79"/>
      <c r="AF106" s="79"/>
      <c r="AG106" s="79"/>
      <c r="AH106" s="79"/>
      <c r="AI106" s="79"/>
      <c r="AJ106" s="79"/>
      <c r="AK106" s="79"/>
      <c r="AV106" s="79"/>
      <c r="AW106" s="79"/>
      <c r="AX106" s="79"/>
    </row>
    <row r="107" spans="1:50" ht="30" customHeight="1" thickBot="1" x14ac:dyDescent="0.25">
      <c r="A107" s="962"/>
      <c r="B107" s="972"/>
      <c r="C107" s="956"/>
      <c r="D107" s="1068"/>
      <c r="E107" s="905"/>
      <c r="F107" s="277">
        <v>77.2</v>
      </c>
      <c r="G107" s="271">
        <v>0.1</v>
      </c>
      <c r="H107" s="278">
        <v>2.8</v>
      </c>
      <c r="I107" s="273">
        <v>1.7</v>
      </c>
      <c r="J107" s="996"/>
      <c r="K107" s="989"/>
      <c r="L107" s="982"/>
      <c r="O107" s="61"/>
      <c r="P107" s="61"/>
      <c r="Q107" s="61"/>
      <c r="R107" s="61"/>
      <c r="S107" s="61"/>
      <c r="Z107" s="79"/>
      <c r="AA107" s="79"/>
      <c r="AB107" s="79"/>
      <c r="AC107" s="79"/>
      <c r="AD107" s="79"/>
      <c r="AE107" s="79"/>
      <c r="AF107" s="79"/>
      <c r="AG107" s="79"/>
      <c r="AH107" s="79"/>
      <c r="AI107" s="79"/>
      <c r="AJ107" s="79"/>
      <c r="AK107" s="79"/>
      <c r="AV107" s="79"/>
      <c r="AW107" s="79"/>
      <c r="AX107" s="79"/>
    </row>
    <row r="108" spans="1:50" ht="30" customHeight="1" x14ac:dyDescent="0.2">
      <c r="A108" s="960" t="s">
        <v>253</v>
      </c>
      <c r="B108" s="971"/>
      <c r="C108" s="956"/>
      <c r="D108" s="1068"/>
      <c r="E108" s="905"/>
      <c r="F108" s="262">
        <v>698.2</v>
      </c>
      <c r="G108" s="263">
        <v>0.1</v>
      </c>
      <c r="H108" s="423">
        <v>-1.002</v>
      </c>
      <c r="I108" s="274">
        <v>9.2999999999999999E-2</v>
      </c>
      <c r="J108" s="997">
        <v>2</v>
      </c>
      <c r="K108" s="998">
        <v>43600</v>
      </c>
      <c r="L108" s="984" t="s">
        <v>320</v>
      </c>
      <c r="O108" s="61"/>
      <c r="P108" s="61"/>
      <c r="Q108" s="61"/>
      <c r="R108" s="61"/>
      <c r="S108" s="61"/>
      <c r="Z108" s="79"/>
      <c r="AA108" s="79"/>
      <c r="AB108" s="79"/>
      <c r="AC108" s="79"/>
      <c r="AD108" s="79"/>
      <c r="AE108" s="79"/>
      <c r="AF108" s="79"/>
      <c r="AG108" s="79"/>
      <c r="AH108" s="79"/>
      <c r="AI108" s="79"/>
      <c r="AJ108" s="79"/>
      <c r="AK108" s="79"/>
      <c r="AV108" s="79"/>
      <c r="AW108" s="79"/>
      <c r="AX108" s="79"/>
    </row>
    <row r="109" spans="1:50" ht="30" customHeight="1" x14ac:dyDescent="0.2">
      <c r="A109" s="960"/>
      <c r="B109" s="971"/>
      <c r="C109" s="956"/>
      <c r="D109" s="1068"/>
      <c r="E109" s="905"/>
      <c r="F109" s="266">
        <v>798.4</v>
      </c>
      <c r="G109" s="279">
        <v>0.1</v>
      </c>
      <c r="H109" s="279">
        <v>-0.77</v>
      </c>
      <c r="I109" s="269">
        <v>0.14000000000000001</v>
      </c>
      <c r="J109" s="995"/>
      <c r="K109" s="988"/>
      <c r="L109" s="985"/>
      <c r="O109" s="61"/>
      <c r="P109" s="61"/>
      <c r="Q109" s="61"/>
      <c r="R109" s="61"/>
      <c r="S109" s="61"/>
      <c r="Z109" s="79"/>
      <c r="AA109" s="79"/>
      <c r="AB109" s="79"/>
      <c r="AC109" s="79"/>
      <c r="AD109" s="79"/>
      <c r="AE109" s="79"/>
      <c r="AF109" s="79"/>
      <c r="AG109" s="79"/>
      <c r="AH109" s="79"/>
      <c r="AI109" s="79"/>
      <c r="AJ109" s="79"/>
      <c r="AK109" s="79"/>
      <c r="AV109" s="79"/>
      <c r="AW109" s="79"/>
      <c r="AX109" s="79"/>
    </row>
    <row r="110" spans="1:50" ht="30" customHeight="1" thickBot="1" x14ac:dyDescent="0.25">
      <c r="A110" s="962"/>
      <c r="B110" s="972"/>
      <c r="C110" s="957"/>
      <c r="D110" s="1069"/>
      <c r="E110" s="906"/>
      <c r="F110" s="270">
        <v>848.7</v>
      </c>
      <c r="G110" s="278">
        <v>0.1</v>
      </c>
      <c r="H110" s="278">
        <v>-0.78</v>
      </c>
      <c r="I110" s="273">
        <v>0.31</v>
      </c>
      <c r="J110" s="1061"/>
      <c r="K110" s="999"/>
      <c r="L110" s="986"/>
      <c r="O110" s="61"/>
      <c r="P110" s="61"/>
      <c r="Q110" s="61"/>
      <c r="R110" s="61"/>
      <c r="S110" s="61"/>
      <c r="Z110" s="79"/>
      <c r="AA110" s="79"/>
      <c r="AB110" s="79"/>
      <c r="AC110" s="79"/>
      <c r="AD110" s="79"/>
      <c r="AE110" s="79"/>
      <c r="AF110" s="79"/>
      <c r="AG110" s="79"/>
      <c r="AH110" s="79"/>
      <c r="AI110" s="79"/>
      <c r="AJ110" s="79"/>
      <c r="AK110" s="79"/>
      <c r="AV110" s="79"/>
      <c r="AW110" s="79"/>
      <c r="AX110" s="79"/>
    </row>
    <row r="111" spans="1:50" ht="30" customHeight="1" thickBot="1" x14ac:dyDescent="0.25">
      <c r="A111" s="89"/>
      <c r="B111" s="89"/>
      <c r="C111" s="90"/>
      <c r="D111" s="91"/>
      <c r="E111" s="92"/>
      <c r="F111" s="93"/>
      <c r="G111" s="90"/>
      <c r="H111" s="90"/>
      <c r="I111" s="90"/>
      <c r="J111" s="90"/>
      <c r="K111" s="94"/>
      <c r="L111" s="90"/>
      <c r="O111" s="61"/>
      <c r="P111" s="61"/>
      <c r="Q111" s="61"/>
      <c r="R111" s="61"/>
      <c r="S111" s="61"/>
      <c r="U111" s="61"/>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row>
    <row r="112" spans="1:50" ht="30" customHeight="1" thickBot="1" x14ac:dyDescent="0.25">
      <c r="A112" s="62"/>
      <c r="B112" s="62"/>
      <c r="C112" s="62"/>
      <c r="D112" s="62"/>
      <c r="E112" s="62"/>
      <c r="F112" s="62"/>
      <c r="G112" s="62"/>
      <c r="H112" s="62"/>
      <c r="I112" s="62"/>
      <c r="J112" s="62"/>
      <c r="K112" s="62"/>
      <c r="L112" s="62"/>
      <c r="O112" s="61"/>
      <c r="P112" s="61"/>
      <c r="Q112" s="61"/>
      <c r="R112" s="61"/>
      <c r="S112" s="61"/>
      <c r="U112" s="61"/>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row>
    <row r="113" spans="1:50" ht="30" customHeight="1" x14ac:dyDescent="0.2">
      <c r="A113" s="973" t="s">
        <v>229</v>
      </c>
      <c r="B113" s="974"/>
      <c r="C113" s="955" t="s">
        <v>232</v>
      </c>
      <c r="D113" s="979" t="s">
        <v>190</v>
      </c>
      <c r="E113" s="904">
        <v>19506160802033</v>
      </c>
      <c r="F113" s="280">
        <v>15.5</v>
      </c>
      <c r="G113" s="263">
        <v>0.1</v>
      </c>
      <c r="H113" s="263">
        <v>-0.2</v>
      </c>
      <c r="I113" s="274">
        <v>0.3</v>
      </c>
      <c r="J113" s="942">
        <v>2</v>
      </c>
      <c r="K113" s="943">
        <v>43606</v>
      </c>
      <c r="L113" s="953" t="s">
        <v>321</v>
      </c>
      <c r="O113" s="95"/>
      <c r="P113" s="361" t="s">
        <v>227</v>
      </c>
      <c r="Q113" s="362" t="s">
        <v>441</v>
      </c>
      <c r="R113" s="362" t="s">
        <v>228</v>
      </c>
      <c r="S113" s="930" t="s">
        <v>445</v>
      </c>
      <c r="T113" s="889" t="s">
        <v>324</v>
      </c>
      <c r="U113" s="61"/>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row>
    <row r="114" spans="1:50" ht="30" customHeight="1" x14ac:dyDescent="0.2">
      <c r="A114" s="975"/>
      <c r="B114" s="976"/>
      <c r="C114" s="956"/>
      <c r="D114" s="950"/>
      <c r="E114" s="905"/>
      <c r="F114" s="266">
        <v>24.6</v>
      </c>
      <c r="G114" s="279">
        <v>0.1</v>
      </c>
      <c r="H114" s="279">
        <v>0.1</v>
      </c>
      <c r="I114" s="269">
        <v>0.3</v>
      </c>
      <c r="J114" s="908"/>
      <c r="K114" s="911"/>
      <c r="L114" s="914"/>
      <c r="O114" s="900" t="s">
        <v>226</v>
      </c>
      <c r="P114" s="343">
        <f>MAX(I113:I115)</f>
        <v>0.4</v>
      </c>
      <c r="Q114" s="425">
        <f>MAX(I116:I118)</f>
        <v>1.7</v>
      </c>
      <c r="R114" s="426">
        <f>MAX(I119:I121)</f>
        <v>0.56999999999999995</v>
      </c>
      <c r="S114" s="931"/>
      <c r="T114" s="890"/>
      <c r="U114" s="61"/>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row>
    <row r="115" spans="1:50" ht="30" customHeight="1" thickBot="1" x14ac:dyDescent="0.25">
      <c r="A115" s="977"/>
      <c r="B115" s="978"/>
      <c r="C115" s="956"/>
      <c r="D115" s="950"/>
      <c r="E115" s="905"/>
      <c r="F115" s="277">
        <v>33.9</v>
      </c>
      <c r="G115" s="278">
        <v>0.1</v>
      </c>
      <c r="H115" s="278">
        <v>0.3</v>
      </c>
      <c r="I115" s="273">
        <v>0.4</v>
      </c>
      <c r="J115" s="908"/>
      <c r="K115" s="911"/>
      <c r="L115" s="914"/>
      <c r="O115" s="901"/>
      <c r="P115" s="421"/>
      <c r="Q115" s="363"/>
      <c r="R115" s="363"/>
      <c r="S115" s="932"/>
      <c r="T115" s="891"/>
      <c r="U115" s="61"/>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row>
    <row r="116" spans="1:50" ht="30" customHeight="1" x14ac:dyDescent="0.2">
      <c r="A116" s="958" t="s">
        <v>230</v>
      </c>
      <c r="B116" s="970"/>
      <c r="C116" s="956"/>
      <c r="D116" s="950"/>
      <c r="E116" s="905"/>
      <c r="F116" s="262">
        <v>32.700000000000003</v>
      </c>
      <c r="G116" s="281">
        <v>0.1</v>
      </c>
      <c r="H116" s="281">
        <v>-2.7</v>
      </c>
      <c r="I116" s="282">
        <v>1.7</v>
      </c>
      <c r="J116" s="907">
        <v>2</v>
      </c>
      <c r="K116" s="910">
        <v>43608</v>
      </c>
      <c r="L116" s="936" t="s">
        <v>322</v>
      </c>
      <c r="O116" s="61"/>
      <c r="P116" s="61"/>
      <c r="Q116" s="61"/>
      <c r="R116" s="61"/>
      <c r="U116" s="61"/>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row>
    <row r="117" spans="1:50" ht="30" customHeight="1" x14ac:dyDescent="0.2">
      <c r="A117" s="960"/>
      <c r="B117" s="971"/>
      <c r="C117" s="956"/>
      <c r="D117" s="950"/>
      <c r="E117" s="905"/>
      <c r="F117" s="266">
        <v>50.7</v>
      </c>
      <c r="G117" s="283">
        <v>0.1</v>
      </c>
      <c r="H117" s="283">
        <v>-0.7</v>
      </c>
      <c r="I117" s="284">
        <v>1.7</v>
      </c>
      <c r="J117" s="908"/>
      <c r="K117" s="911"/>
      <c r="L117" s="914"/>
      <c r="O117" s="61"/>
      <c r="P117" s="61"/>
      <c r="Q117" s="61"/>
      <c r="R117" s="61"/>
      <c r="U117" s="61"/>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row>
    <row r="118" spans="1:50" ht="30" customHeight="1" thickBot="1" x14ac:dyDescent="0.25">
      <c r="A118" s="962"/>
      <c r="B118" s="972"/>
      <c r="C118" s="956"/>
      <c r="D118" s="950"/>
      <c r="E118" s="905"/>
      <c r="F118" s="277">
        <v>68.099999999999994</v>
      </c>
      <c r="G118" s="285">
        <v>0.1</v>
      </c>
      <c r="H118" s="285">
        <v>1.8</v>
      </c>
      <c r="I118" s="286">
        <v>1.7</v>
      </c>
      <c r="J118" s="908"/>
      <c r="K118" s="911"/>
      <c r="L118" s="914"/>
      <c r="O118" s="61"/>
      <c r="P118" s="61"/>
      <c r="Q118" s="61"/>
      <c r="R118" s="61"/>
      <c r="U118" s="61"/>
      <c r="V118" s="61"/>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row>
    <row r="119" spans="1:50" ht="30" customHeight="1" x14ac:dyDescent="0.2">
      <c r="A119" s="958" t="s">
        <v>253</v>
      </c>
      <c r="B119" s="970"/>
      <c r="C119" s="956"/>
      <c r="D119" s="950"/>
      <c r="E119" s="905"/>
      <c r="F119" s="280">
        <v>397.5</v>
      </c>
      <c r="G119" s="281">
        <v>0.1</v>
      </c>
      <c r="H119" s="364">
        <v>-1.67</v>
      </c>
      <c r="I119" s="365">
        <v>0.12</v>
      </c>
      <c r="J119" s="907">
        <v>2</v>
      </c>
      <c r="K119" s="910">
        <v>43587</v>
      </c>
      <c r="L119" s="913" t="s">
        <v>323</v>
      </c>
      <c r="O119" s="61"/>
      <c r="P119" s="61"/>
      <c r="Q119" s="61"/>
      <c r="R119" s="61"/>
      <c r="T119" s="96"/>
      <c r="U119" s="61"/>
      <c r="V119" s="61"/>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row>
    <row r="120" spans="1:50" ht="30" customHeight="1" x14ac:dyDescent="0.2">
      <c r="A120" s="960"/>
      <c r="B120" s="971"/>
      <c r="C120" s="956"/>
      <c r="D120" s="950"/>
      <c r="E120" s="905"/>
      <c r="F120" s="266">
        <v>798.5</v>
      </c>
      <c r="G120" s="283">
        <v>0.1</v>
      </c>
      <c r="H120" s="366">
        <v>-0.7</v>
      </c>
      <c r="I120" s="339">
        <v>0.27</v>
      </c>
      <c r="J120" s="908"/>
      <c r="K120" s="911"/>
      <c r="L120" s="914"/>
      <c r="O120" s="61"/>
      <c r="P120" s="61"/>
      <c r="Q120" s="61"/>
      <c r="R120" s="61"/>
      <c r="T120" s="77"/>
      <c r="U120" s="61"/>
      <c r="V120" s="61"/>
    </row>
    <row r="121" spans="1:50" ht="30" customHeight="1" thickBot="1" x14ac:dyDescent="0.25">
      <c r="A121" s="962"/>
      <c r="B121" s="972"/>
      <c r="C121" s="957"/>
      <c r="D121" s="951"/>
      <c r="E121" s="906"/>
      <c r="F121" s="277">
        <v>1099.5999999999999</v>
      </c>
      <c r="G121" s="285">
        <v>0.1</v>
      </c>
      <c r="H121" s="367">
        <v>-0.28999999999999998</v>
      </c>
      <c r="I121" s="340">
        <v>0.56999999999999995</v>
      </c>
      <c r="J121" s="909"/>
      <c r="K121" s="912"/>
      <c r="L121" s="915"/>
      <c r="O121" s="61"/>
      <c r="P121" s="61"/>
      <c r="Q121" s="61"/>
      <c r="R121" s="61"/>
      <c r="T121" s="77"/>
      <c r="U121" s="61"/>
      <c r="V121" s="61"/>
    </row>
    <row r="122" spans="1:50" ht="30" customHeight="1" thickBot="1" x14ac:dyDescent="0.25">
      <c r="A122" s="97"/>
      <c r="B122" s="98"/>
      <c r="C122" s="76"/>
      <c r="D122" s="99"/>
      <c r="E122" s="100"/>
      <c r="F122" s="76"/>
      <c r="G122" s="76"/>
      <c r="H122" s="76"/>
      <c r="I122" s="76"/>
      <c r="J122" s="76"/>
      <c r="K122" s="101"/>
      <c r="L122" s="102"/>
      <c r="O122" s="61"/>
      <c r="P122" s="61"/>
      <c r="Q122" s="61"/>
      <c r="R122" s="61"/>
      <c r="T122" s="77"/>
      <c r="U122" s="61"/>
      <c r="V122" s="61"/>
    </row>
    <row r="123" spans="1:50" ht="30" customHeight="1" thickBot="1" x14ac:dyDescent="0.25">
      <c r="A123" s="103"/>
      <c r="B123" s="86"/>
      <c r="C123" s="85"/>
      <c r="D123" s="85"/>
      <c r="E123" s="85"/>
      <c r="F123" s="85"/>
      <c r="G123" s="85"/>
      <c r="H123" s="85"/>
      <c r="I123" s="85"/>
      <c r="J123" s="85"/>
      <c r="K123" s="85"/>
      <c r="L123" s="85"/>
      <c r="O123" s="61"/>
      <c r="P123" s="61"/>
      <c r="Q123" s="61"/>
      <c r="R123" s="61"/>
      <c r="T123" s="77"/>
      <c r="U123" s="61"/>
      <c r="V123" s="61"/>
    </row>
    <row r="124" spans="1:50" ht="30" customHeight="1" x14ac:dyDescent="0.2">
      <c r="A124" s="964" t="s">
        <v>229</v>
      </c>
      <c r="B124" s="965"/>
      <c r="C124" s="955" t="s">
        <v>233</v>
      </c>
      <c r="D124" s="938" t="s">
        <v>190</v>
      </c>
      <c r="E124" s="904">
        <v>19406160802033</v>
      </c>
      <c r="F124" s="280">
        <v>15.3</v>
      </c>
      <c r="G124" s="263">
        <v>0.1</v>
      </c>
      <c r="H124" s="264">
        <v>-0.1</v>
      </c>
      <c r="I124" s="356">
        <v>0.3</v>
      </c>
      <c r="J124" s="942">
        <v>2</v>
      </c>
      <c r="K124" s="943">
        <v>43732</v>
      </c>
      <c r="L124" s="953" t="s">
        <v>359</v>
      </c>
      <c r="O124" s="429"/>
      <c r="P124" s="361" t="s">
        <v>227</v>
      </c>
      <c r="Q124" s="362" t="s">
        <v>441</v>
      </c>
      <c r="R124" s="362" t="s">
        <v>228</v>
      </c>
      <c r="S124" s="930" t="s">
        <v>446</v>
      </c>
      <c r="T124" s="889" t="s">
        <v>362</v>
      </c>
      <c r="U124" s="61"/>
      <c r="V124" s="61"/>
    </row>
    <row r="125" spans="1:50" ht="30" customHeight="1" x14ac:dyDescent="0.2">
      <c r="A125" s="966"/>
      <c r="B125" s="967"/>
      <c r="C125" s="956"/>
      <c r="D125" s="940"/>
      <c r="E125" s="905"/>
      <c r="F125" s="266">
        <v>24.8</v>
      </c>
      <c r="G125" s="279">
        <v>0.1</v>
      </c>
      <c r="H125" s="276">
        <v>0</v>
      </c>
      <c r="I125" s="357">
        <v>0.3</v>
      </c>
      <c r="J125" s="908"/>
      <c r="K125" s="911"/>
      <c r="L125" s="914"/>
      <c r="O125" s="902" t="s">
        <v>237</v>
      </c>
      <c r="P125" s="343">
        <f>MAX(I124:I126)</f>
        <v>0.3</v>
      </c>
      <c r="Q125" s="337">
        <f>MAX(I127:I129)</f>
        <v>1.7</v>
      </c>
      <c r="R125" s="337">
        <f>MAX(I130:I132)</f>
        <v>0.28999999999999998</v>
      </c>
      <c r="S125" s="931"/>
      <c r="T125" s="890"/>
      <c r="U125" s="61"/>
      <c r="V125" s="61"/>
    </row>
    <row r="126" spans="1:50" ht="30" customHeight="1" thickBot="1" x14ac:dyDescent="0.25">
      <c r="A126" s="968"/>
      <c r="B126" s="969"/>
      <c r="C126" s="956"/>
      <c r="D126" s="940"/>
      <c r="E126" s="905"/>
      <c r="F126" s="277">
        <v>29.6</v>
      </c>
      <c r="G126" s="278">
        <v>0.1</v>
      </c>
      <c r="H126" s="278">
        <v>0.1</v>
      </c>
      <c r="I126" s="273">
        <v>0.3</v>
      </c>
      <c r="J126" s="908"/>
      <c r="K126" s="911"/>
      <c r="L126" s="914"/>
      <c r="O126" s="903"/>
      <c r="P126" s="338"/>
      <c r="Q126" s="363"/>
      <c r="R126" s="363"/>
      <c r="S126" s="932"/>
      <c r="T126" s="891"/>
      <c r="U126" s="61"/>
      <c r="V126" s="61"/>
    </row>
    <row r="127" spans="1:50" ht="30" customHeight="1" x14ac:dyDescent="0.2">
      <c r="A127" s="958" t="s">
        <v>230</v>
      </c>
      <c r="B127" s="959"/>
      <c r="C127" s="956"/>
      <c r="D127" s="940"/>
      <c r="E127" s="905"/>
      <c r="F127" s="262">
        <v>32.299999999999997</v>
      </c>
      <c r="G127" s="263">
        <v>0.1</v>
      </c>
      <c r="H127" s="263">
        <v>-2.2999999999999998</v>
      </c>
      <c r="I127" s="274">
        <v>1.7</v>
      </c>
      <c r="J127" s="935">
        <v>2</v>
      </c>
      <c r="K127" s="910">
        <v>43733</v>
      </c>
      <c r="L127" s="936" t="s">
        <v>360</v>
      </c>
      <c r="O127" s="61"/>
      <c r="P127" s="61"/>
      <c r="Q127" s="61"/>
      <c r="R127" s="61"/>
      <c r="T127" s="77"/>
      <c r="U127" s="61"/>
      <c r="V127" s="61"/>
    </row>
    <row r="128" spans="1:50" ht="30" customHeight="1" x14ac:dyDescent="0.2">
      <c r="A128" s="960"/>
      <c r="B128" s="961"/>
      <c r="C128" s="956"/>
      <c r="D128" s="940"/>
      <c r="E128" s="905"/>
      <c r="F128" s="266">
        <v>50.6</v>
      </c>
      <c r="G128" s="279">
        <v>0.1</v>
      </c>
      <c r="H128" s="279">
        <v>-0.6</v>
      </c>
      <c r="I128" s="269">
        <v>1.7</v>
      </c>
      <c r="J128" s="908">
        <v>2</v>
      </c>
      <c r="K128" s="911"/>
      <c r="L128" s="914"/>
      <c r="O128" s="61"/>
      <c r="P128" s="61"/>
      <c r="Q128" s="61"/>
      <c r="R128" s="61"/>
      <c r="T128" s="77"/>
      <c r="U128" s="61"/>
      <c r="V128" s="61"/>
    </row>
    <row r="129" spans="1:22" ht="30" customHeight="1" thickBot="1" x14ac:dyDescent="0.25">
      <c r="A129" s="962"/>
      <c r="B129" s="963"/>
      <c r="C129" s="956"/>
      <c r="D129" s="940"/>
      <c r="E129" s="905"/>
      <c r="F129" s="277">
        <v>68.599999999999994</v>
      </c>
      <c r="G129" s="278">
        <v>0.1</v>
      </c>
      <c r="H129" s="278">
        <v>1.4</v>
      </c>
      <c r="I129" s="273">
        <v>1.7</v>
      </c>
      <c r="J129" s="908"/>
      <c r="K129" s="911"/>
      <c r="L129" s="914"/>
      <c r="O129" s="61"/>
      <c r="P129" s="61"/>
      <c r="Q129" s="61"/>
      <c r="R129" s="61"/>
      <c r="T129" s="77"/>
      <c r="U129" s="61"/>
      <c r="V129" s="61"/>
    </row>
    <row r="130" spans="1:22" ht="30" customHeight="1" x14ac:dyDescent="0.2">
      <c r="A130" s="958" t="s">
        <v>253</v>
      </c>
      <c r="B130" s="959"/>
      <c r="C130" s="956"/>
      <c r="D130" s="940"/>
      <c r="E130" s="905"/>
      <c r="F130" s="280">
        <v>497.8</v>
      </c>
      <c r="G130" s="263">
        <v>0.1</v>
      </c>
      <c r="H130" s="358">
        <v>-1.4</v>
      </c>
      <c r="I130" s="342">
        <v>0.17</v>
      </c>
      <c r="J130" s="935">
        <v>2</v>
      </c>
      <c r="K130" s="910">
        <v>43733</v>
      </c>
      <c r="L130" s="952" t="s">
        <v>361</v>
      </c>
      <c r="O130" s="61"/>
      <c r="P130" s="61"/>
      <c r="Q130" s="61"/>
      <c r="R130" s="61"/>
      <c r="T130" s="77"/>
      <c r="U130" s="61"/>
      <c r="V130" s="61"/>
    </row>
    <row r="131" spans="1:22" ht="30" customHeight="1" x14ac:dyDescent="0.2">
      <c r="A131" s="960"/>
      <c r="B131" s="961"/>
      <c r="C131" s="956"/>
      <c r="D131" s="940"/>
      <c r="E131" s="905"/>
      <c r="F131" s="266">
        <v>698.2</v>
      </c>
      <c r="G131" s="279">
        <v>0.1</v>
      </c>
      <c r="H131" s="359">
        <v>-0.92</v>
      </c>
      <c r="I131" s="339">
        <v>0.11</v>
      </c>
      <c r="J131" s="908">
        <v>2</v>
      </c>
      <c r="K131" s="911">
        <v>42671</v>
      </c>
      <c r="L131" s="914" t="s">
        <v>209</v>
      </c>
      <c r="O131" s="61"/>
      <c r="P131" s="61"/>
      <c r="Q131" s="61"/>
      <c r="R131" s="61"/>
      <c r="T131" s="77"/>
      <c r="U131" s="61"/>
      <c r="V131" s="61"/>
    </row>
    <row r="132" spans="1:22" ht="30" customHeight="1" thickBot="1" x14ac:dyDescent="0.25">
      <c r="A132" s="962"/>
      <c r="B132" s="963"/>
      <c r="C132" s="957"/>
      <c r="D132" s="941"/>
      <c r="E132" s="906"/>
      <c r="F132" s="277">
        <v>1098.8</v>
      </c>
      <c r="G132" s="278">
        <v>0.1</v>
      </c>
      <c r="H132" s="360">
        <v>-0.68</v>
      </c>
      <c r="I132" s="340">
        <v>0.28999999999999998</v>
      </c>
      <c r="J132" s="909"/>
      <c r="K132" s="912"/>
      <c r="L132" s="915"/>
      <c r="O132" s="61"/>
      <c r="P132" s="61"/>
      <c r="Q132" s="61"/>
      <c r="R132" s="61"/>
      <c r="T132" s="77"/>
      <c r="U132" s="61"/>
      <c r="V132" s="61"/>
    </row>
    <row r="133" spans="1:22" ht="30" customHeight="1" thickBot="1" x14ac:dyDescent="0.25">
      <c r="A133" s="82"/>
      <c r="B133" s="85"/>
      <c r="C133" s="62"/>
      <c r="D133" s="62"/>
      <c r="E133" s="62"/>
      <c r="F133" s="62"/>
      <c r="G133" s="62"/>
      <c r="H133" s="62"/>
      <c r="I133" s="62"/>
      <c r="J133" s="62"/>
      <c r="K133" s="62"/>
      <c r="L133" s="62"/>
      <c r="O133" s="61"/>
      <c r="P133" s="61"/>
      <c r="Q133" s="61"/>
      <c r="R133" s="61"/>
      <c r="T133" s="77"/>
      <c r="U133" s="61"/>
      <c r="V133" s="61"/>
    </row>
    <row r="134" spans="1:22" ht="30" customHeight="1" x14ac:dyDescent="0.2">
      <c r="A134" s="937" t="s">
        <v>229</v>
      </c>
      <c r="B134" s="938"/>
      <c r="C134" s="949" t="s">
        <v>234</v>
      </c>
      <c r="D134" s="938" t="s">
        <v>190</v>
      </c>
      <c r="E134" s="904" t="s">
        <v>207</v>
      </c>
      <c r="F134" s="262">
        <v>15.5</v>
      </c>
      <c r="G134" s="263">
        <v>0.1</v>
      </c>
      <c r="H134" s="264">
        <v>-0.2</v>
      </c>
      <c r="I134" s="287">
        <v>0.3</v>
      </c>
      <c r="J134" s="954">
        <v>2</v>
      </c>
      <c r="K134" s="943">
        <v>43599</v>
      </c>
      <c r="L134" s="953" t="s">
        <v>325</v>
      </c>
      <c r="O134" s="95"/>
      <c r="P134" s="361" t="s">
        <v>227</v>
      </c>
      <c r="Q134" s="362" t="s">
        <v>441</v>
      </c>
      <c r="R134" s="362" t="s">
        <v>228</v>
      </c>
      <c r="S134" s="930" t="s">
        <v>447</v>
      </c>
      <c r="T134" s="889" t="s">
        <v>328</v>
      </c>
      <c r="U134" s="61"/>
      <c r="V134" s="61"/>
    </row>
    <row r="135" spans="1:22" ht="30" customHeight="1" x14ac:dyDescent="0.2">
      <c r="A135" s="939"/>
      <c r="B135" s="940"/>
      <c r="C135" s="950"/>
      <c r="D135" s="940"/>
      <c r="E135" s="905"/>
      <c r="F135" s="266">
        <v>24.6</v>
      </c>
      <c r="G135" s="279">
        <v>0.1</v>
      </c>
      <c r="H135" s="276">
        <v>0.1</v>
      </c>
      <c r="I135" s="288">
        <v>0.3</v>
      </c>
      <c r="J135" s="947"/>
      <c r="K135" s="911"/>
      <c r="L135" s="914"/>
      <c r="O135" s="900" t="s">
        <v>224</v>
      </c>
      <c r="P135" s="424">
        <f>MAX(I134:I136)</f>
        <v>0.3</v>
      </c>
      <c r="Q135" s="420">
        <f>MAX(I137:I139)</f>
        <v>1.7</v>
      </c>
      <c r="R135" s="420">
        <f>MAX(I140:I142)</f>
        <v>0.34</v>
      </c>
      <c r="S135" s="931"/>
      <c r="T135" s="890"/>
      <c r="U135" s="61"/>
      <c r="V135" s="61"/>
    </row>
    <row r="136" spans="1:22" ht="30" customHeight="1" thickBot="1" x14ac:dyDescent="0.25">
      <c r="A136" s="939"/>
      <c r="B136" s="940"/>
      <c r="C136" s="950"/>
      <c r="D136" s="940"/>
      <c r="E136" s="905"/>
      <c r="F136" s="270">
        <v>29.2</v>
      </c>
      <c r="G136" s="278">
        <v>0.1</v>
      </c>
      <c r="H136" s="289">
        <v>0.3</v>
      </c>
      <c r="I136" s="290">
        <v>0.3</v>
      </c>
      <c r="J136" s="947">
        <v>1.96</v>
      </c>
      <c r="K136" s="911"/>
      <c r="L136" s="914"/>
      <c r="O136" s="901"/>
      <c r="P136" s="421"/>
      <c r="Q136" s="363"/>
      <c r="R136" s="363"/>
      <c r="S136" s="932"/>
      <c r="T136" s="891"/>
      <c r="U136" s="61"/>
      <c r="V136" s="61"/>
    </row>
    <row r="137" spans="1:22" ht="30" customHeight="1" x14ac:dyDescent="0.2">
      <c r="A137" s="933" t="s">
        <v>230</v>
      </c>
      <c r="B137" s="934"/>
      <c r="C137" s="950"/>
      <c r="D137" s="940"/>
      <c r="E137" s="905"/>
      <c r="F137" s="262">
        <v>33.6</v>
      </c>
      <c r="G137" s="263">
        <v>0.1</v>
      </c>
      <c r="H137" s="263">
        <v>-3.6</v>
      </c>
      <c r="I137" s="342">
        <v>1.7</v>
      </c>
      <c r="J137" s="946">
        <v>2</v>
      </c>
      <c r="K137" s="910">
        <v>43600</v>
      </c>
      <c r="L137" s="936" t="s">
        <v>326</v>
      </c>
      <c r="O137" s="61"/>
      <c r="P137" s="61"/>
      <c r="Q137" s="61"/>
      <c r="R137" s="61"/>
      <c r="T137" s="77"/>
      <c r="U137" s="61"/>
      <c r="V137" s="61"/>
    </row>
    <row r="138" spans="1:22" ht="30" customHeight="1" x14ac:dyDescent="0.2">
      <c r="A138" s="933"/>
      <c r="B138" s="934"/>
      <c r="C138" s="950"/>
      <c r="D138" s="940"/>
      <c r="E138" s="905"/>
      <c r="F138" s="266">
        <v>51.2</v>
      </c>
      <c r="G138" s="279">
        <v>0.1</v>
      </c>
      <c r="H138" s="279">
        <v>-1.2</v>
      </c>
      <c r="I138" s="339">
        <v>1.7</v>
      </c>
      <c r="J138" s="947">
        <v>1.96</v>
      </c>
      <c r="K138" s="911"/>
      <c r="L138" s="914"/>
      <c r="O138" s="61"/>
      <c r="P138" s="61"/>
      <c r="Q138" s="61"/>
      <c r="R138" s="61"/>
      <c r="T138" s="77"/>
      <c r="U138" s="61"/>
      <c r="V138" s="61"/>
    </row>
    <row r="139" spans="1:22" ht="30" customHeight="1" thickBot="1" x14ac:dyDescent="0.25">
      <c r="A139" s="933"/>
      <c r="B139" s="934"/>
      <c r="C139" s="950"/>
      <c r="D139" s="940"/>
      <c r="E139" s="905"/>
      <c r="F139" s="277">
        <v>68.5</v>
      </c>
      <c r="G139" s="278">
        <v>0.1</v>
      </c>
      <c r="H139" s="278">
        <v>1.5</v>
      </c>
      <c r="I139" s="340">
        <v>1.7</v>
      </c>
      <c r="J139" s="947"/>
      <c r="K139" s="911"/>
      <c r="L139" s="914"/>
      <c r="O139" s="61"/>
      <c r="P139" s="61"/>
      <c r="Q139" s="61"/>
      <c r="R139" s="61"/>
      <c r="T139" s="77"/>
      <c r="U139" s="61"/>
      <c r="V139" s="61"/>
    </row>
    <row r="140" spans="1:22" ht="30" customHeight="1" x14ac:dyDescent="0.2">
      <c r="A140" s="933" t="s">
        <v>253</v>
      </c>
      <c r="B140" s="934"/>
      <c r="C140" s="950"/>
      <c r="D140" s="940"/>
      <c r="E140" s="905"/>
      <c r="F140" s="262">
        <v>698.3</v>
      </c>
      <c r="G140" s="263">
        <v>0.1</v>
      </c>
      <c r="H140" s="263">
        <v>-0.92</v>
      </c>
      <c r="I140" s="342">
        <v>0.11</v>
      </c>
      <c r="J140" s="946">
        <v>2</v>
      </c>
      <c r="K140" s="910">
        <v>43600</v>
      </c>
      <c r="L140" s="952" t="s">
        <v>327</v>
      </c>
      <c r="O140" s="61"/>
      <c r="P140" s="61"/>
      <c r="Q140" s="61"/>
      <c r="R140" s="61"/>
      <c r="T140" s="62"/>
    </row>
    <row r="141" spans="1:22" ht="30" customHeight="1" x14ac:dyDescent="0.2">
      <c r="A141" s="933"/>
      <c r="B141" s="934"/>
      <c r="C141" s="950"/>
      <c r="D141" s="940"/>
      <c r="E141" s="905"/>
      <c r="F141" s="266">
        <v>798.4</v>
      </c>
      <c r="G141" s="279">
        <v>0.1</v>
      </c>
      <c r="H141" s="359">
        <v>-0.82099999999999995</v>
      </c>
      <c r="I141" s="339">
        <v>8.7999999999999995E-2</v>
      </c>
      <c r="J141" s="947">
        <v>2</v>
      </c>
      <c r="K141" s="911">
        <v>42625</v>
      </c>
      <c r="L141" s="914" t="s">
        <v>208</v>
      </c>
      <c r="O141" s="61"/>
      <c r="P141" s="61"/>
      <c r="Q141" s="61"/>
      <c r="R141" s="61"/>
      <c r="T141" s="62"/>
    </row>
    <row r="142" spans="1:22" ht="30" customHeight="1" thickBot="1" x14ac:dyDescent="0.25">
      <c r="A142" s="944"/>
      <c r="B142" s="945"/>
      <c r="C142" s="951"/>
      <c r="D142" s="941"/>
      <c r="E142" s="906"/>
      <c r="F142" s="277">
        <v>848.7</v>
      </c>
      <c r="G142" s="278">
        <v>0.1</v>
      </c>
      <c r="H142" s="278">
        <v>-0.75</v>
      </c>
      <c r="I142" s="340">
        <v>0.34</v>
      </c>
      <c r="J142" s="948"/>
      <c r="K142" s="912"/>
      <c r="L142" s="915"/>
      <c r="O142" s="61"/>
      <c r="P142" s="61"/>
      <c r="Q142" s="61"/>
      <c r="R142" s="61"/>
      <c r="T142" s="62"/>
    </row>
    <row r="143" spans="1:22" ht="30" customHeight="1" thickBot="1" x14ac:dyDescent="0.25">
      <c r="A143" s="104"/>
      <c r="B143" s="62"/>
      <c r="C143" s="62"/>
      <c r="D143" s="62"/>
      <c r="E143" s="62"/>
      <c r="F143" s="62"/>
      <c r="G143" s="62"/>
      <c r="H143" s="62"/>
      <c r="I143" s="62"/>
      <c r="J143" s="62"/>
      <c r="K143" s="62"/>
      <c r="L143" s="62"/>
      <c r="O143" s="61"/>
      <c r="P143" s="61"/>
      <c r="Q143" s="61"/>
      <c r="R143" s="61"/>
      <c r="T143" s="62"/>
    </row>
    <row r="144" spans="1:22" ht="30" customHeight="1" x14ac:dyDescent="0.2">
      <c r="A144" s="937" t="s">
        <v>229</v>
      </c>
      <c r="B144" s="938"/>
      <c r="C144" s="949" t="s">
        <v>235</v>
      </c>
      <c r="D144" s="938" t="s">
        <v>190</v>
      </c>
      <c r="E144" s="916" t="s">
        <v>204</v>
      </c>
      <c r="F144" s="262">
        <v>15.4</v>
      </c>
      <c r="G144" s="263">
        <v>0.1</v>
      </c>
      <c r="H144" s="264">
        <v>-0.1</v>
      </c>
      <c r="I144" s="287">
        <v>0.3</v>
      </c>
      <c r="J144" s="942">
        <v>2</v>
      </c>
      <c r="K144" s="943">
        <v>43599</v>
      </c>
      <c r="L144" s="953" t="s">
        <v>329</v>
      </c>
      <c r="O144" s="95"/>
      <c r="P144" s="361" t="s">
        <v>227</v>
      </c>
      <c r="Q144" s="362" t="s">
        <v>441</v>
      </c>
      <c r="R144" s="362" t="s">
        <v>228</v>
      </c>
      <c r="S144" s="930" t="s">
        <v>447</v>
      </c>
      <c r="T144" s="889" t="s">
        <v>332</v>
      </c>
    </row>
    <row r="145" spans="1:20" ht="30" customHeight="1" x14ac:dyDescent="0.2">
      <c r="A145" s="939"/>
      <c r="B145" s="940"/>
      <c r="C145" s="950"/>
      <c r="D145" s="940"/>
      <c r="E145" s="905"/>
      <c r="F145" s="275">
        <v>24.7</v>
      </c>
      <c r="G145" s="279">
        <v>0.1</v>
      </c>
      <c r="H145" s="276">
        <v>0</v>
      </c>
      <c r="I145" s="288">
        <v>0.3</v>
      </c>
      <c r="J145" s="908"/>
      <c r="K145" s="911"/>
      <c r="L145" s="914"/>
      <c r="O145" s="900" t="s">
        <v>238</v>
      </c>
      <c r="P145" s="424">
        <f>MAX(I144:I146)</f>
        <v>0.3</v>
      </c>
      <c r="Q145" s="420">
        <f>MAX(I147:I149)</f>
        <v>1.7</v>
      </c>
      <c r="R145" s="420">
        <f>MAX(I150:I152)</f>
        <v>0.11</v>
      </c>
      <c r="S145" s="931"/>
      <c r="T145" s="890"/>
    </row>
    <row r="146" spans="1:20" ht="30" customHeight="1" thickBot="1" x14ac:dyDescent="0.25">
      <c r="A146" s="939"/>
      <c r="B146" s="940"/>
      <c r="C146" s="950"/>
      <c r="D146" s="940"/>
      <c r="E146" s="905"/>
      <c r="F146" s="270">
        <v>29.4</v>
      </c>
      <c r="G146" s="278">
        <v>0.1</v>
      </c>
      <c r="H146" s="289">
        <v>0.1</v>
      </c>
      <c r="I146" s="291">
        <v>0.3</v>
      </c>
      <c r="J146" s="908"/>
      <c r="K146" s="911"/>
      <c r="L146" s="914"/>
      <c r="O146" s="901"/>
      <c r="P146" s="421"/>
      <c r="Q146" s="363"/>
      <c r="R146" s="363"/>
      <c r="S146" s="932"/>
      <c r="T146" s="891"/>
    </row>
    <row r="147" spans="1:20" ht="30" customHeight="1" x14ac:dyDescent="0.2">
      <c r="A147" s="933" t="s">
        <v>230</v>
      </c>
      <c r="B147" s="934"/>
      <c r="C147" s="950"/>
      <c r="D147" s="940"/>
      <c r="E147" s="905"/>
      <c r="F147" s="262">
        <v>33.6</v>
      </c>
      <c r="G147" s="263">
        <v>0.1</v>
      </c>
      <c r="H147" s="263">
        <v>-3.6</v>
      </c>
      <c r="I147" s="342">
        <v>1.7</v>
      </c>
      <c r="J147" s="935">
        <v>2</v>
      </c>
      <c r="K147" s="910">
        <v>43600</v>
      </c>
      <c r="L147" s="936" t="s">
        <v>330</v>
      </c>
      <c r="O147" s="61"/>
      <c r="P147" s="61"/>
      <c r="Q147" s="61"/>
      <c r="R147" s="61"/>
      <c r="T147" s="62"/>
    </row>
    <row r="148" spans="1:20" ht="30" customHeight="1" x14ac:dyDescent="0.2">
      <c r="A148" s="933"/>
      <c r="B148" s="934"/>
      <c r="C148" s="950"/>
      <c r="D148" s="940"/>
      <c r="E148" s="905"/>
      <c r="F148" s="266">
        <v>51.2</v>
      </c>
      <c r="G148" s="279">
        <v>0.1</v>
      </c>
      <c r="H148" s="279">
        <v>-1.2</v>
      </c>
      <c r="I148" s="341">
        <v>1.7</v>
      </c>
      <c r="J148" s="908"/>
      <c r="K148" s="911"/>
      <c r="L148" s="914"/>
      <c r="O148" s="61"/>
      <c r="P148" s="61"/>
      <c r="Q148" s="61"/>
      <c r="R148" s="61"/>
      <c r="T148" s="62"/>
    </row>
    <row r="149" spans="1:20" ht="30" customHeight="1" thickBot="1" x14ac:dyDescent="0.25">
      <c r="A149" s="933"/>
      <c r="B149" s="934"/>
      <c r="C149" s="950"/>
      <c r="D149" s="940"/>
      <c r="E149" s="905"/>
      <c r="F149" s="277">
        <v>68.3</v>
      </c>
      <c r="G149" s="278">
        <v>0.1</v>
      </c>
      <c r="H149" s="278">
        <v>1.7</v>
      </c>
      <c r="I149" s="292">
        <v>1.7</v>
      </c>
      <c r="J149" s="908"/>
      <c r="K149" s="911"/>
      <c r="L149" s="914"/>
      <c r="O149" s="61"/>
      <c r="P149" s="61"/>
      <c r="Q149" s="61"/>
      <c r="R149" s="61"/>
      <c r="T149" s="62"/>
    </row>
    <row r="150" spans="1:20" ht="30" customHeight="1" x14ac:dyDescent="0.2">
      <c r="A150" s="933" t="s">
        <v>253</v>
      </c>
      <c r="B150" s="934"/>
      <c r="C150" s="950"/>
      <c r="D150" s="940"/>
      <c r="E150" s="905"/>
      <c r="F150" s="280">
        <v>698.2</v>
      </c>
      <c r="G150" s="263">
        <v>0.1</v>
      </c>
      <c r="H150" s="263">
        <v>-0.99</v>
      </c>
      <c r="I150" s="342">
        <v>6.8000000000000005E-2</v>
      </c>
      <c r="J150" s="946">
        <v>1.96</v>
      </c>
      <c r="K150" s="910">
        <v>43600</v>
      </c>
      <c r="L150" s="952" t="s">
        <v>331</v>
      </c>
      <c r="O150" s="62"/>
      <c r="T150" s="62"/>
    </row>
    <row r="151" spans="1:20" ht="30" customHeight="1" x14ac:dyDescent="0.2">
      <c r="A151" s="933"/>
      <c r="B151" s="934"/>
      <c r="C151" s="950"/>
      <c r="D151" s="940"/>
      <c r="E151" s="905"/>
      <c r="F151" s="266">
        <v>751.8</v>
      </c>
      <c r="G151" s="279">
        <v>0.1</v>
      </c>
      <c r="H151" s="359">
        <v>-0.88</v>
      </c>
      <c r="I151" s="339">
        <v>8.6999999999999994E-2</v>
      </c>
      <c r="J151" s="947">
        <v>1.96</v>
      </c>
      <c r="K151" s="911">
        <v>42586</v>
      </c>
      <c r="L151" s="914" t="s">
        <v>205</v>
      </c>
      <c r="O151" s="62"/>
      <c r="T151" s="62"/>
    </row>
    <row r="152" spans="1:20" ht="30" customHeight="1" thickBot="1" x14ac:dyDescent="0.25">
      <c r="A152" s="944"/>
      <c r="B152" s="945"/>
      <c r="C152" s="951"/>
      <c r="D152" s="941"/>
      <c r="E152" s="906"/>
      <c r="F152" s="277">
        <v>798.4</v>
      </c>
      <c r="G152" s="278">
        <v>0.1</v>
      </c>
      <c r="H152" s="278">
        <v>-0.73</v>
      </c>
      <c r="I152" s="340">
        <v>0.11</v>
      </c>
      <c r="J152" s="948">
        <v>2</v>
      </c>
      <c r="K152" s="912">
        <v>42625</v>
      </c>
      <c r="L152" s="915" t="s">
        <v>206</v>
      </c>
      <c r="O152" s="62"/>
      <c r="T152" s="62"/>
    </row>
    <row r="153" spans="1:20" ht="30" customHeight="1" thickBot="1" x14ac:dyDescent="0.25"/>
    <row r="154" spans="1:20" ht="30" customHeight="1" thickBot="1" x14ac:dyDescent="0.25">
      <c r="A154" s="892" t="s">
        <v>254</v>
      </c>
      <c r="B154" s="893"/>
      <c r="C154" s="893"/>
      <c r="D154" s="893"/>
      <c r="E154" s="893"/>
      <c r="F154" s="894"/>
      <c r="H154" s="892" t="s">
        <v>196</v>
      </c>
      <c r="I154" s="893"/>
      <c r="J154" s="893"/>
      <c r="K154" s="894"/>
    </row>
    <row r="155" spans="1:20" ht="30" customHeight="1" thickBot="1" x14ac:dyDescent="0.25">
      <c r="A155" s="217" t="s">
        <v>107</v>
      </c>
      <c r="B155" s="1050" t="s">
        <v>304</v>
      </c>
      <c r="C155" s="1051"/>
      <c r="D155" s="1051"/>
      <c r="E155" s="1051"/>
      <c r="F155" s="1052"/>
      <c r="H155" s="895" t="s">
        <v>282</v>
      </c>
      <c r="I155" s="896"/>
      <c r="J155" s="896"/>
      <c r="K155" s="897"/>
    </row>
    <row r="156" spans="1:20" ht="30" customHeight="1" x14ac:dyDescent="0.2">
      <c r="A156" s="129"/>
      <c r="B156" s="1053"/>
      <c r="C156" s="1053"/>
      <c r="D156" s="1054"/>
      <c r="E156" s="1054"/>
      <c r="F156" s="218"/>
      <c r="H156" s="105">
        <v>5</v>
      </c>
      <c r="I156" s="106" t="s">
        <v>156</v>
      </c>
      <c r="J156" s="107">
        <v>8200</v>
      </c>
      <c r="K156" s="75"/>
    </row>
    <row r="157" spans="1:20" ht="30" customHeight="1" x14ac:dyDescent="0.2">
      <c r="A157" s="110" t="s">
        <v>178</v>
      </c>
      <c r="B157" s="1047" t="s">
        <v>179</v>
      </c>
      <c r="C157" s="1047"/>
      <c r="D157" s="1048" t="s">
        <v>381</v>
      </c>
      <c r="E157" s="1048"/>
      <c r="F157" s="252" t="s">
        <v>276</v>
      </c>
      <c r="H157" s="224">
        <v>7.8E-2</v>
      </c>
      <c r="I157" s="108"/>
      <c r="J157" s="225">
        <v>5.5999999999999997E-6</v>
      </c>
      <c r="K157" s="109"/>
    </row>
    <row r="158" spans="1:20" ht="30" customHeight="1" thickBot="1" x14ac:dyDescent="0.25">
      <c r="A158" s="110" t="s">
        <v>180</v>
      </c>
      <c r="B158" s="1047" t="s">
        <v>181</v>
      </c>
      <c r="C158" s="1047"/>
      <c r="D158" s="1048" t="s">
        <v>382</v>
      </c>
      <c r="E158" s="1048"/>
      <c r="F158" s="252" t="s">
        <v>276</v>
      </c>
    </row>
    <row r="159" spans="1:20" ht="42.75" customHeight="1" thickBot="1" x14ac:dyDescent="0.25">
      <c r="A159" s="111" t="s">
        <v>379</v>
      </c>
      <c r="B159" s="1049" t="s">
        <v>383</v>
      </c>
      <c r="C159" s="1049"/>
      <c r="D159" s="1048" t="s">
        <v>382</v>
      </c>
      <c r="E159" s="1048"/>
      <c r="F159" s="253" t="s">
        <v>276</v>
      </c>
      <c r="G159" s="254" t="s">
        <v>252</v>
      </c>
      <c r="H159" s="255" t="str">
        <f>D99</f>
        <v>Fabricante</v>
      </c>
      <c r="I159" s="256" t="str">
        <f>E99</f>
        <v>Identificación / Serie</v>
      </c>
      <c r="J159" s="256" t="str">
        <f>S99</f>
        <v>Fecha de Calibración</v>
      </c>
      <c r="K159" s="256" t="str">
        <f>T99</f>
        <v>Trazabilidad y numero</v>
      </c>
      <c r="L159" s="256" t="s">
        <v>227</v>
      </c>
      <c r="M159" s="256" t="s">
        <v>441</v>
      </c>
      <c r="N159" s="256" t="s">
        <v>228</v>
      </c>
      <c r="O159" s="256" t="s">
        <v>272</v>
      </c>
      <c r="P159" s="256" t="s">
        <v>273</v>
      </c>
      <c r="Q159" s="256" t="s">
        <v>442</v>
      </c>
      <c r="R159" s="256" t="s">
        <v>443</v>
      </c>
      <c r="S159" s="256" t="s">
        <v>274</v>
      </c>
      <c r="T159" s="257" t="s">
        <v>275</v>
      </c>
    </row>
    <row r="160" spans="1:20" ht="50.1" customHeight="1" thickBot="1" x14ac:dyDescent="0.25">
      <c r="G160" s="220"/>
      <c r="H160" s="221"/>
      <c r="I160" s="221"/>
      <c r="J160" s="221"/>
      <c r="K160" s="221"/>
      <c r="L160" s="221"/>
      <c r="M160" s="221"/>
      <c r="N160" s="221"/>
      <c r="O160" s="221"/>
      <c r="P160" s="222"/>
      <c r="Q160" s="222"/>
      <c r="R160" s="222"/>
      <c r="S160" s="222"/>
      <c r="T160" s="113"/>
    </row>
    <row r="161" spans="7:20" ht="50.1" customHeight="1" x14ac:dyDescent="0.2">
      <c r="G161" s="403" t="str">
        <f>O103</f>
        <v>V-002</v>
      </c>
      <c r="H161" s="334" t="str">
        <f>D102</f>
        <v>Lufft Opus 20</v>
      </c>
      <c r="I161" s="404" t="str">
        <f>E102</f>
        <v>0,23.0714.0802.024</v>
      </c>
      <c r="J161" s="400" t="str">
        <f>S102</f>
        <v>2019-05-21 / 2019-05-23 / 2019-05-15</v>
      </c>
      <c r="K161" s="361" t="str">
        <f>T102</f>
        <v>INM  3998 - INM 4006 - INM 2313</v>
      </c>
      <c r="L161" s="334">
        <f>P103</f>
        <v>0.3</v>
      </c>
      <c r="M161" s="334">
        <f>Q103</f>
        <v>1.7</v>
      </c>
      <c r="N161" s="334">
        <f t="shared" ref="N161" si="15">R103</f>
        <v>0.31</v>
      </c>
      <c r="O161" s="335">
        <f>SLOPE(H102:H104,F102:F104)</f>
        <v>7.6498785212423676E-3</v>
      </c>
      <c r="P161" s="335">
        <f>INTERCEPT(H102:H104,F102:F104)</f>
        <v>-0.21055551907544817</v>
      </c>
      <c r="Q161" s="335">
        <f>SLOPE(H105:H107,F105:F107)</f>
        <v>0.13760217983651227</v>
      </c>
      <c r="R161" s="335">
        <f>INTERCEPT(H105:H107,F105:F107)</f>
        <v>-7.9455040871934619</v>
      </c>
      <c r="S161" s="335">
        <f>SLOPE(H108:H110,F108:F110)</f>
        <v>1.5943723491910079E-3</v>
      </c>
      <c r="T161" s="405">
        <f>INTERCEPT(H108:H110,F108:F110)</f>
        <v>-2.0970938235192236</v>
      </c>
    </row>
    <row r="162" spans="7:20" ht="50.1" customHeight="1" x14ac:dyDescent="0.2">
      <c r="G162" s="406" t="str">
        <f>O135</f>
        <v>M-010</v>
      </c>
      <c r="H162" s="344" t="str">
        <f>D134</f>
        <v>Lufft Opus 20</v>
      </c>
      <c r="I162" s="407" t="str">
        <f>E134</f>
        <v>0,26.0714.0802.024</v>
      </c>
      <c r="J162" s="401" t="str">
        <f>S134</f>
        <v>2019-05-14 / 2019-05-15 / 2019-05-15</v>
      </c>
      <c r="K162" s="343" t="str">
        <f>T134</f>
        <v>INM 3985 - INM 3987 -   INM 2314</v>
      </c>
      <c r="L162" s="408">
        <f>P135</f>
        <v>0.3</v>
      </c>
      <c r="M162" s="408">
        <f>Q135</f>
        <v>1.7</v>
      </c>
      <c r="N162" s="409">
        <f t="shared" ref="N162" si="16">R135</f>
        <v>0.34</v>
      </c>
      <c r="O162" s="336">
        <f>SLOPE(H134:H136,F134:F136)</f>
        <v>3.6000822875951452E-2</v>
      </c>
      <c r="P162" s="336">
        <f>INTERCEPT(H134:H136,F134:F136)</f>
        <v>-0.76495234176781179</v>
      </c>
      <c r="Q162" s="336">
        <f>SLOPE(H137:H139,F137:F139)</f>
        <v>0.14610357623723358</v>
      </c>
      <c r="R162" s="336">
        <f>INTERCEPT(H137:H139,F137:F139)</f>
        <v>-8.5658927457226355</v>
      </c>
      <c r="S162" s="336">
        <f>SLOPE(H140:H142,F140:F142)</f>
        <v>1.1102903418968183E-3</v>
      </c>
      <c r="T162" s="410">
        <f>INTERCEPT(H140:H142,F140:F142)</f>
        <v>-1.6983583226282657</v>
      </c>
    </row>
    <row r="163" spans="7:20" ht="50.1" customHeight="1" x14ac:dyDescent="0.2">
      <c r="G163" s="406" t="str">
        <f>O145</f>
        <v>M-011</v>
      </c>
      <c r="H163" s="344" t="str">
        <f>D144</f>
        <v>Lufft Opus 20</v>
      </c>
      <c r="I163" s="411" t="str">
        <f>E144</f>
        <v>0,22.0714.0802.024</v>
      </c>
      <c r="J163" s="401" t="str">
        <f>S144</f>
        <v>2019-05-14 / 2019-05-15 / 2019-05-15</v>
      </c>
      <c r="K163" s="343" t="str">
        <f>T144</f>
        <v>INM-39864-INM 3988-INM 2315</v>
      </c>
      <c r="L163" s="408">
        <f>P145</f>
        <v>0.3</v>
      </c>
      <c r="M163" s="408">
        <f>Q145</f>
        <v>1.7</v>
      </c>
      <c r="N163" s="409">
        <f t="shared" ref="N163" si="17">R145</f>
        <v>0.11</v>
      </c>
      <c r="O163" s="336">
        <f>SLOPE(H144:H146,F144:F146)</f>
        <v>1.3789480596230877E-2</v>
      </c>
      <c r="P163" s="336">
        <f>INTERCEPT(H144:H146,F144:F146)</f>
        <v>-0.31945630047934864</v>
      </c>
      <c r="Q163" s="336">
        <f>SLOPE(H147:H149,F147:F149)</f>
        <v>0.15265797836413364</v>
      </c>
      <c r="R163" s="336">
        <f>INTERCEPT(H147:H149,F147:F149)</f>
        <v>-8.8239788291829537</v>
      </c>
      <c r="S163" s="336">
        <f>SLOPE(H150:H152,F150:F152)</f>
        <v>2.5813149339457058E-3</v>
      </c>
      <c r="T163" s="410">
        <f>INTERCEPT(H150:H152,F150:F152)</f>
        <v>-2.8012761658278418</v>
      </c>
    </row>
    <row r="164" spans="7:20" ht="50.1" customHeight="1" x14ac:dyDescent="0.2">
      <c r="G164" s="406" t="str">
        <f>O114</f>
        <v xml:space="preserve">M-012  </v>
      </c>
      <c r="H164" s="344" t="str">
        <f>D113</f>
        <v>Lufft Opus 20</v>
      </c>
      <c r="I164" s="407">
        <f>E113</f>
        <v>19506160802033</v>
      </c>
      <c r="J164" s="401" t="str">
        <f>S113</f>
        <v>2019-05-21 / 2019-05-23 / 2019-05-15</v>
      </c>
      <c r="K164" s="343" t="str">
        <f>T113</f>
        <v>INM-3997, INM 4005 - INM 2316</v>
      </c>
      <c r="L164" s="344">
        <f>P114</f>
        <v>0.4</v>
      </c>
      <c r="M164" s="344">
        <f>Q114</f>
        <v>1.7</v>
      </c>
      <c r="N164" s="344">
        <f t="shared" ref="N164" si="18">R114</f>
        <v>0.56999999999999995</v>
      </c>
      <c r="O164" s="336">
        <f>SLOPE(H113:H115,F113:F115)</f>
        <v>2.7153152443586816E-2</v>
      </c>
      <c r="P164" s="336">
        <f>INTERCEPT(H113:H115,F113:F115)</f>
        <v>-0.60311109360847481</v>
      </c>
      <c r="Q164" s="336">
        <f>SLOPE(H116:H118,F116:F118)</f>
        <v>0.12702668198646755</v>
      </c>
      <c r="R164" s="336">
        <f>INTERCEPT(H116:H118,F116:F118)</f>
        <v>-6.9481807736499448</v>
      </c>
      <c r="S164" s="336">
        <f>SLOPE(H119:H121,F119:F121)</f>
        <v>1.9899325989336312E-3</v>
      </c>
      <c r="T164" s="410">
        <f>INTERCEPT(H119:H121,F119:F121)</f>
        <v>-2.4093630913706812</v>
      </c>
    </row>
    <row r="165" spans="7:20" ht="50.1" customHeight="1" thickBot="1" x14ac:dyDescent="0.25">
      <c r="G165" s="412" t="str">
        <f>O125</f>
        <v xml:space="preserve">M-013  </v>
      </c>
      <c r="H165" s="413" t="str">
        <f>D124</f>
        <v>Lufft Opus 20</v>
      </c>
      <c r="I165" s="414">
        <f>E124</f>
        <v>19406160802033</v>
      </c>
      <c r="J165" s="402" t="str">
        <f>S124</f>
        <v xml:space="preserve">2019-09-24  / 2019-09-25  / 2019-08-25 </v>
      </c>
      <c r="K165" s="415" t="str">
        <f>T124</f>
        <v>INM 4216 - INM 4217 -  INM 2346</v>
      </c>
      <c r="L165" s="413">
        <f>P125</f>
        <v>0.3</v>
      </c>
      <c r="M165" s="413">
        <f>Q125</f>
        <v>1.7</v>
      </c>
      <c r="N165" s="413">
        <f t="shared" ref="N165" si="19">R125</f>
        <v>0.28999999999999998</v>
      </c>
      <c r="O165" s="416">
        <f>SLOPE(H124:H126,F124:F126)</f>
        <v>1.3499905595065769E-2</v>
      </c>
      <c r="P165" s="416">
        <f>INTERCEPT(H124:H126,F124:F126)</f>
        <v>-0.31364780665869468</v>
      </c>
      <c r="Q165" s="416">
        <f>SLOPE(H127:H129,F127:F129)</f>
        <v>0.101903287496585</v>
      </c>
      <c r="R165" s="416">
        <f>INTERCEPT(H127:H129,F127:F129)</f>
        <v>-5.6461160185775423</v>
      </c>
      <c r="S165" s="416">
        <f>SLOPE(H130:H132,F130:F132)</f>
        <v>1.1125130090065254E-3</v>
      </c>
      <c r="T165" s="417">
        <f>INTERCEPT(H130:H132,F130:F132)</f>
        <v>-1.8509982843560584</v>
      </c>
    </row>
    <row r="199" spans="64:67" ht="35.1" customHeight="1" x14ac:dyDescent="0.25">
      <c r="BL199" s="112"/>
      <c r="BM199" s="112"/>
      <c r="BN199" s="112"/>
      <c r="BO199" s="112"/>
    </row>
    <row r="200" spans="64:67" ht="35.1" customHeight="1" x14ac:dyDescent="0.25">
      <c r="BL200" s="112"/>
      <c r="BM200" s="112"/>
      <c r="BN200" s="112"/>
      <c r="BO200" s="112"/>
    </row>
    <row r="201" spans="64:67" ht="35.1" customHeight="1" x14ac:dyDescent="0.25">
      <c r="BL201" s="112"/>
      <c r="BM201" s="112"/>
      <c r="BN201" s="112"/>
      <c r="BO201" s="112"/>
    </row>
    <row r="202" spans="64:67" ht="35.1" customHeight="1" x14ac:dyDescent="0.25">
      <c r="BL202" s="112"/>
      <c r="BM202" s="112"/>
      <c r="BN202" s="112"/>
      <c r="BO202" s="112"/>
    </row>
  </sheetData>
  <sheetProtection algorithmName="SHA-512" hashValue="12rDKYV8jmMFozJtL4wzKiDZEvG9T1EmVd6IQLA2se7MY8mRr71/+LkBb/A5s4m47VKi4WB7G8q5K4+R/xkxjQ==" saltValue="rphsSsSEEwnNjJuDzpeSrg==" spinCount="100000" sheet="1" objects="1" scenarios="1"/>
  <mergeCells count="169">
    <mergeCell ref="V25:V26"/>
    <mergeCell ref="C23:V24"/>
    <mergeCell ref="V28:V32"/>
    <mergeCell ref="V38:V54"/>
    <mergeCell ref="V55:V70"/>
    <mergeCell ref="V73:V88"/>
    <mergeCell ref="O25:O26"/>
    <mergeCell ref="M25:M26"/>
    <mergeCell ref="A154:F154"/>
    <mergeCell ref="S113:S115"/>
    <mergeCell ref="T113:T115"/>
    <mergeCell ref="A116:B118"/>
    <mergeCell ref="J116:J118"/>
    <mergeCell ref="K116:K118"/>
    <mergeCell ref="L116:L118"/>
    <mergeCell ref="J108:J110"/>
    <mergeCell ref="L99:L100"/>
    <mergeCell ref="O99:O100"/>
    <mergeCell ref="P99:R100"/>
    <mergeCell ref="C102:C110"/>
    <mergeCell ref="O103:O104"/>
    <mergeCell ref="E102:E110"/>
    <mergeCell ref="T102:T104"/>
    <mergeCell ref="D102:D110"/>
    <mergeCell ref="B157:C157"/>
    <mergeCell ref="D157:E157"/>
    <mergeCell ref="B158:C158"/>
    <mergeCell ref="D158:E158"/>
    <mergeCell ref="B159:C159"/>
    <mergeCell ref="D159:E159"/>
    <mergeCell ref="B155:F155"/>
    <mergeCell ref="B156:C156"/>
    <mergeCell ref="D156:E156"/>
    <mergeCell ref="M5:M6"/>
    <mergeCell ref="N5:N6"/>
    <mergeCell ref="C3:N4"/>
    <mergeCell ref="B28:B32"/>
    <mergeCell ref="U25:U26"/>
    <mergeCell ref="B73:B88"/>
    <mergeCell ref="B55:B70"/>
    <mergeCell ref="B38:B54"/>
    <mergeCell ref="T25:T26"/>
    <mergeCell ref="R25:R26"/>
    <mergeCell ref="C25:C26"/>
    <mergeCell ref="D25:D26"/>
    <mergeCell ref="E25:E26"/>
    <mergeCell ref="F25:F26"/>
    <mergeCell ref="G25:G26"/>
    <mergeCell ref="H25:H26"/>
    <mergeCell ref="I25:I26"/>
    <mergeCell ref="J25:J26"/>
    <mergeCell ref="N25:N26"/>
    <mergeCell ref="P25:P26"/>
    <mergeCell ref="K25:K26"/>
    <mergeCell ref="L25:L26"/>
    <mergeCell ref="S25:S26"/>
    <mergeCell ref="C5:C6"/>
    <mergeCell ref="D5:D6"/>
    <mergeCell ref="E5:E6"/>
    <mergeCell ref="F5:F6"/>
    <mergeCell ref="G5:G6"/>
    <mergeCell ref="H5:H6"/>
    <mergeCell ref="I5:I6"/>
    <mergeCell ref="J5:J6"/>
    <mergeCell ref="K5:K6"/>
    <mergeCell ref="C12:L13"/>
    <mergeCell ref="C14:C15"/>
    <mergeCell ref="D14:D15"/>
    <mergeCell ref="E14:E15"/>
    <mergeCell ref="F14:F15"/>
    <mergeCell ref="H14:H15"/>
    <mergeCell ref="I14:I15"/>
    <mergeCell ref="J14:J15"/>
    <mergeCell ref="K14:K15"/>
    <mergeCell ref="L14:L15"/>
    <mergeCell ref="G14:G15"/>
    <mergeCell ref="S99:S100"/>
    <mergeCell ref="T99:T100"/>
    <mergeCell ref="J102:J104"/>
    <mergeCell ref="J105:J107"/>
    <mergeCell ref="A105:B107"/>
    <mergeCell ref="K105:K107"/>
    <mergeCell ref="K108:K110"/>
    <mergeCell ref="A102:B104"/>
    <mergeCell ref="J99:J100"/>
    <mergeCell ref="C113:C121"/>
    <mergeCell ref="K99:K100"/>
    <mergeCell ref="L127:L129"/>
    <mergeCell ref="A124:B126"/>
    <mergeCell ref="D124:D132"/>
    <mergeCell ref="J124:J126"/>
    <mergeCell ref="K124:K126"/>
    <mergeCell ref="A130:B132"/>
    <mergeCell ref="J130:J132"/>
    <mergeCell ref="K130:K132"/>
    <mergeCell ref="A119:B121"/>
    <mergeCell ref="A108:B110"/>
    <mergeCell ref="A113:B115"/>
    <mergeCell ref="D113:D121"/>
    <mergeCell ref="J113:J115"/>
    <mergeCell ref="K113:K115"/>
    <mergeCell ref="L113:L115"/>
    <mergeCell ref="L102:L104"/>
    <mergeCell ref="L105:L107"/>
    <mergeCell ref="L108:L110"/>
    <mergeCell ref="K102:K104"/>
    <mergeCell ref="S134:S136"/>
    <mergeCell ref="T134:T136"/>
    <mergeCell ref="A137:B139"/>
    <mergeCell ref="J137:J139"/>
    <mergeCell ref="K137:K139"/>
    <mergeCell ref="L137:L139"/>
    <mergeCell ref="L130:L132"/>
    <mergeCell ref="A134:B136"/>
    <mergeCell ref="D134:D142"/>
    <mergeCell ref="J134:J136"/>
    <mergeCell ref="K134:K136"/>
    <mergeCell ref="L134:L136"/>
    <mergeCell ref="A140:B142"/>
    <mergeCell ref="J140:J142"/>
    <mergeCell ref="K140:K142"/>
    <mergeCell ref="L140:L142"/>
    <mergeCell ref="C124:C132"/>
    <mergeCell ref="C134:C142"/>
    <mergeCell ref="L124:L126"/>
    <mergeCell ref="S124:S126"/>
    <mergeCell ref="T124:T126"/>
    <mergeCell ref="A127:B129"/>
    <mergeCell ref="J127:J129"/>
    <mergeCell ref="K127:K129"/>
    <mergeCell ref="S144:S146"/>
    <mergeCell ref="A147:B149"/>
    <mergeCell ref="J147:J149"/>
    <mergeCell ref="K147:K149"/>
    <mergeCell ref="L147:L149"/>
    <mergeCell ref="A144:B146"/>
    <mergeCell ref="D144:D152"/>
    <mergeCell ref="J144:J146"/>
    <mergeCell ref="K144:K146"/>
    <mergeCell ref="A150:B152"/>
    <mergeCell ref="J150:J152"/>
    <mergeCell ref="K150:K152"/>
    <mergeCell ref="C144:C152"/>
    <mergeCell ref="L150:L152"/>
    <mergeCell ref="L144:L146"/>
    <mergeCell ref="T144:T146"/>
    <mergeCell ref="H154:K154"/>
    <mergeCell ref="H155:K155"/>
    <mergeCell ref="L5:L6"/>
    <mergeCell ref="O114:O115"/>
    <mergeCell ref="O125:O126"/>
    <mergeCell ref="O135:O136"/>
    <mergeCell ref="O145:O146"/>
    <mergeCell ref="E113:E121"/>
    <mergeCell ref="J119:J121"/>
    <mergeCell ref="K119:K121"/>
    <mergeCell ref="L119:L121"/>
    <mergeCell ref="E124:E132"/>
    <mergeCell ref="E134:E142"/>
    <mergeCell ref="E144:E152"/>
    <mergeCell ref="C96:T97"/>
    <mergeCell ref="C98:T98"/>
    <mergeCell ref="D99:D100"/>
    <mergeCell ref="E99:E100"/>
    <mergeCell ref="F99:F100"/>
    <mergeCell ref="G99:G100"/>
    <mergeCell ref="H99:H100"/>
    <mergeCell ref="I99:I100"/>
    <mergeCell ref="S102:S104"/>
  </mergeCells>
  <pageMargins left="0.7" right="0.7" top="0.75" bottom="0.75" header="0.3" footer="0.3"/>
  <pageSetup scale="10" orientation="landscape" horizontalDpi="4294967293" r:id="rId1"/>
  <rowBreaks count="2" manualBreakCount="2">
    <brk id="89" max="16383" man="1"/>
    <brk id="112" max="16383" man="1"/>
  </rowBreaks>
  <ignoredErrors>
    <ignoredError sqref="P103:R103 P125:Q125 P135:R135 P145:R145 O161:O165 P161:P165 Q161:Q165 R161:R165 S161:S165 T161:T165"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T144"/>
  <sheetViews>
    <sheetView showGridLines="0" view="pageBreakPreview" topLeftCell="A46" zoomScale="80" zoomScaleNormal="80" zoomScaleSheetLayoutView="80" workbookViewId="0">
      <selection activeCell="K97" sqref="K97"/>
    </sheetView>
  </sheetViews>
  <sheetFormatPr baseColWidth="10" defaultColWidth="15.7109375" defaultRowHeight="35.1" customHeight="1" x14ac:dyDescent="0.2"/>
  <cols>
    <col min="1" max="1" width="16.7109375" style="1" customWidth="1"/>
    <col min="2" max="4" width="16.7109375" style="6" customWidth="1"/>
    <col min="5" max="5" width="20.42578125" style="6" customWidth="1"/>
    <col min="6" max="11" width="16.7109375" style="6" customWidth="1"/>
    <col min="12" max="12" width="19.42578125" style="1" customWidth="1"/>
    <col min="13" max="13" width="19" style="1" customWidth="1"/>
    <col min="14" max="16384" width="15.7109375" style="1"/>
  </cols>
  <sheetData>
    <row r="1" spans="1:20" ht="35.1" customHeight="1" x14ac:dyDescent="0.2">
      <c r="A1" s="1170"/>
      <c r="B1" s="1171"/>
      <c r="C1" s="1119" t="s">
        <v>246</v>
      </c>
      <c r="D1" s="1120"/>
      <c r="E1" s="1120"/>
      <c r="F1" s="1120"/>
      <c r="G1" s="1120"/>
      <c r="H1" s="1120"/>
      <c r="I1" s="1120"/>
      <c r="J1" s="1120"/>
      <c r="K1" s="1120"/>
      <c r="L1" s="1120"/>
      <c r="M1" s="1120"/>
      <c r="N1" s="1120"/>
      <c r="O1" s="1120"/>
      <c r="P1" s="1121"/>
    </row>
    <row r="2" spans="1:20" ht="35.1" customHeight="1" x14ac:dyDescent="0.2">
      <c r="A2" s="1172"/>
      <c r="B2" s="1173"/>
      <c r="C2" s="1122"/>
      <c r="D2" s="1123"/>
      <c r="E2" s="1123"/>
      <c r="F2" s="1123"/>
      <c r="G2" s="1123"/>
      <c r="H2" s="1123"/>
      <c r="I2" s="1123"/>
      <c r="J2" s="1123"/>
      <c r="K2" s="1123"/>
      <c r="L2" s="1123"/>
      <c r="M2" s="1123"/>
      <c r="N2" s="1123"/>
      <c r="O2" s="1123"/>
      <c r="P2" s="1124"/>
    </row>
    <row r="3" spans="1:20" ht="35.1" customHeight="1" thickBot="1" x14ac:dyDescent="0.25">
      <c r="A3" s="1174"/>
      <c r="B3" s="1175"/>
      <c r="C3" s="1125"/>
      <c r="D3" s="1126"/>
      <c r="E3" s="1126"/>
      <c r="F3" s="1126"/>
      <c r="G3" s="1126"/>
      <c r="H3" s="1126"/>
      <c r="I3" s="1126"/>
      <c r="J3" s="1126"/>
      <c r="K3" s="1126"/>
      <c r="L3" s="1126"/>
      <c r="M3" s="1126"/>
      <c r="N3" s="1126"/>
      <c r="O3" s="1126"/>
      <c r="P3" s="1127"/>
    </row>
    <row r="4" spans="1:20" s="5" customFormat="1" ht="15" customHeight="1" thickBot="1" x14ac:dyDescent="0.25">
      <c r="A4" s="2"/>
      <c r="B4" s="2"/>
      <c r="C4" s="2"/>
      <c r="D4" s="2"/>
      <c r="E4" s="2"/>
      <c r="F4" s="2"/>
      <c r="G4" s="2"/>
      <c r="H4" s="2"/>
      <c r="I4" s="2"/>
      <c r="J4" s="2"/>
      <c r="K4" s="3"/>
      <c r="L4" s="4"/>
    </row>
    <row r="5" spans="1:20" ht="44.25" customHeight="1" thickBot="1" x14ac:dyDescent="0.25">
      <c r="B5" s="47" t="s">
        <v>6</v>
      </c>
      <c r="C5" s="48" t="s">
        <v>108</v>
      </c>
      <c r="D5" s="48" t="s">
        <v>211</v>
      </c>
      <c r="E5" s="48" t="s">
        <v>109</v>
      </c>
      <c r="F5" s="48" t="s">
        <v>72</v>
      </c>
      <c r="G5" s="49" t="s">
        <v>7</v>
      </c>
      <c r="H5" s="49" t="s">
        <v>369</v>
      </c>
      <c r="I5" s="50" t="s">
        <v>110</v>
      </c>
      <c r="J5" s="1168"/>
      <c r="L5" s="7"/>
    </row>
    <row r="6" spans="1:20" ht="60" customHeight="1" thickBot="1" x14ac:dyDescent="0.25">
      <c r="A6" s="8"/>
      <c r="B6" s="44" t="e">
        <f>VLOOKUP($J$5,'DATOS @ '!$C$7:$K$22,2,FALSE)</f>
        <v>#N/A</v>
      </c>
      <c r="C6" s="54" t="e">
        <f>VLOOKUP($J$5,'DATOS @ '!$C$7:$K$22,3,FALSE)</f>
        <v>#N/A</v>
      </c>
      <c r="D6" s="44" t="e">
        <f>VLOOKUP($J$5,'DATOS @ '!$C$7:$K$22,8,FALSE)</f>
        <v>#N/A</v>
      </c>
      <c r="E6" s="44" t="e">
        <f>VLOOKUP($J$5,'DATOS @ '!$C$7:$K$22,6,FALSE)</f>
        <v>#N/A</v>
      </c>
      <c r="F6" s="54" t="e">
        <f>VLOOKUP($J$5,'DATOS @ '!$C$7:$K$22,7,FALSE)</f>
        <v>#N/A</v>
      </c>
      <c r="G6" s="44" t="e">
        <f>VLOOKUP($J$5,'DATOS @ '!$C$7:$K$22,4,FALSE)</f>
        <v>#N/A</v>
      </c>
      <c r="H6" s="44" t="e">
        <f>VLOOKUP($J$5,'DATOS @ '!$C$7:$K$22,5,FALSE)</f>
        <v>#N/A</v>
      </c>
      <c r="I6" s="44" t="e">
        <f>VLOOKUP($J$5,'DATOS @ '!$C$7:$K$22,9,FALSE)</f>
        <v>#N/A</v>
      </c>
      <c r="J6" s="1169"/>
      <c r="L6" s="7"/>
    </row>
    <row r="7" spans="1:20" ht="9.9499999999999993" customHeight="1" thickBot="1" x14ac:dyDescent="0.25">
      <c r="B7" s="9"/>
      <c r="C7" s="10"/>
      <c r="D7" s="11"/>
      <c r="E7" s="10"/>
      <c r="F7" s="9"/>
      <c r="G7" s="12"/>
      <c r="H7" s="13"/>
      <c r="I7" s="9"/>
      <c r="J7" s="10"/>
      <c r="K7" s="10"/>
      <c r="L7" s="7"/>
    </row>
    <row r="8" spans="1:20" ht="35.1" customHeight="1" thickBot="1" x14ac:dyDescent="0.25">
      <c r="B8" s="1076" t="s">
        <v>9</v>
      </c>
      <c r="C8" s="1077"/>
      <c r="D8" s="1077"/>
      <c r="E8" s="1078"/>
      <c r="F8" s="121"/>
      <c r="G8" s="1076" t="s">
        <v>199</v>
      </c>
      <c r="H8" s="1077"/>
      <c r="I8" s="1077"/>
      <c r="J8" s="1078"/>
      <c r="K8" s="122"/>
      <c r="L8" s="258"/>
    </row>
    <row r="9" spans="1:20" ht="35.1" customHeight="1" x14ac:dyDescent="0.2">
      <c r="B9" s="1218" t="s">
        <v>3</v>
      </c>
      <c r="C9" s="1219"/>
      <c r="D9" s="198" t="e">
        <f>VLOOKUP($F$8,'DATOS @ '!$C$16:$L$22,2,FALSE)</f>
        <v>#N/A</v>
      </c>
      <c r="E9" s="199"/>
      <c r="F9" s="15"/>
      <c r="G9" s="1216" t="s">
        <v>200</v>
      </c>
      <c r="H9" s="1217"/>
      <c r="I9" s="1214" t="e">
        <f>VLOOKUP($K$8,'DATOS @ '!$B$27:$S$88,1,FALSE)</f>
        <v>#N/A</v>
      </c>
      <c r="J9" s="1215"/>
      <c r="K9" s="14"/>
      <c r="L9" s="14"/>
    </row>
    <row r="10" spans="1:20" ht="35.1" customHeight="1" x14ac:dyDescent="0.2">
      <c r="B10" s="1166" t="s">
        <v>8</v>
      </c>
      <c r="C10" s="1220"/>
      <c r="D10" s="51" t="e">
        <f>VLOOKUP($F$8,'DATOS @ '!$C$16:$L$22,3,FALSE)</f>
        <v>#N/A</v>
      </c>
      <c r="E10" s="200"/>
      <c r="F10" s="15"/>
      <c r="G10" s="1166" t="s">
        <v>3</v>
      </c>
      <c r="H10" s="1167"/>
      <c r="I10" s="1221" t="e">
        <f>VLOOKUP($K$8,'DATOS @ '!$B$27:$V$88,4,FALSE)</f>
        <v>#N/A</v>
      </c>
      <c r="J10" s="1222"/>
      <c r="L10" s="14"/>
      <c r="M10" s="16"/>
      <c r="N10" s="16"/>
      <c r="O10" s="16"/>
      <c r="P10" s="16"/>
    </row>
    <row r="11" spans="1:20" ht="35.1" customHeight="1" x14ac:dyDescent="0.2">
      <c r="B11" s="1166" t="s">
        <v>1</v>
      </c>
      <c r="C11" s="1220"/>
      <c r="D11" s="53" t="e">
        <f>VLOOKUP($F$8,'DATOS @ '!$C$16:$L$22,4,FALSE)</f>
        <v>#N/A</v>
      </c>
      <c r="E11" s="229"/>
      <c r="F11" s="15"/>
      <c r="G11" s="1260" t="s">
        <v>0</v>
      </c>
      <c r="H11" s="1261"/>
      <c r="I11" s="1221" t="e">
        <f>VLOOKUP($K$8,'DATOS @ '!$B$27:$V$88,3,FALSE)</f>
        <v>#N/A</v>
      </c>
      <c r="J11" s="1222"/>
      <c r="K11" s="14"/>
      <c r="L11" s="14"/>
      <c r="P11" s="16"/>
    </row>
    <row r="12" spans="1:20" s="16" customFormat="1" ht="35.1" customHeight="1" x14ac:dyDescent="0.2">
      <c r="B12" s="1166" t="s">
        <v>221</v>
      </c>
      <c r="C12" s="1213"/>
      <c r="D12" s="53" t="e">
        <f>VLOOKUP($F$8,'DATOS @ '!$C$16:$L$22,5,FALSE)</f>
        <v>#N/A</v>
      </c>
      <c r="E12" s="200"/>
      <c r="F12" s="17"/>
      <c r="G12" s="1166" t="s">
        <v>2</v>
      </c>
      <c r="H12" s="1167"/>
      <c r="I12" s="1223" t="e">
        <f>VLOOKUP($K$8,'DATOS @ '!$B$27:$V$88,7,FALSE)</f>
        <v>#N/A</v>
      </c>
      <c r="J12" s="1224"/>
      <c r="K12" s="10"/>
      <c r="L12" s="18"/>
      <c r="Q12" s="1"/>
      <c r="R12" s="1"/>
      <c r="S12" s="1"/>
      <c r="T12" s="1"/>
    </row>
    <row r="13" spans="1:20" s="16" customFormat="1" ht="35.1" customHeight="1" x14ac:dyDescent="0.2">
      <c r="B13" s="1178" t="s">
        <v>42</v>
      </c>
      <c r="C13" s="1179"/>
      <c r="D13" s="53" t="e">
        <f>VLOOKUP($F$8,'DATOS @ '!$C$16:$L$22,6,FALSE)</f>
        <v>#N/A</v>
      </c>
      <c r="E13" s="200"/>
      <c r="F13" s="17"/>
      <c r="G13" s="1166" t="s">
        <v>188</v>
      </c>
      <c r="H13" s="1167"/>
      <c r="I13" s="1225" t="e">
        <f>VLOOKUP($K$8,'DATOS @ '!$B$27:$V$88,8,FALSE)</f>
        <v>#N/A</v>
      </c>
      <c r="J13" s="1226"/>
      <c r="K13" s="10"/>
      <c r="L13" s="18"/>
    </row>
    <row r="14" spans="1:20" s="16" customFormat="1" ht="35.1" customHeight="1" thickBot="1" x14ac:dyDescent="0.25">
      <c r="B14" s="1180" t="s">
        <v>212</v>
      </c>
      <c r="C14" s="1181"/>
      <c r="D14" s="52" t="e">
        <f>VLOOKUP($F$8,'DATOS @ '!$C$16:$L$22,7,FALSE)</f>
        <v>#N/A</v>
      </c>
      <c r="E14" s="200"/>
      <c r="F14" s="17"/>
      <c r="G14" s="1128" t="s">
        <v>91</v>
      </c>
      <c r="H14" s="1129"/>
      <c r="I14" s="1130" t="e">
        <f>VLOOKUP($K$8,'DATOS @ '!$B$27:$V$88,20,FALSE)</f>
        <v>#N/A</v>
      </c>
      <c r="J14" s="1131"/>
      <c r="K14" s="10"/>
      <c r="L14" s="18"/>
    </row>
    <row r="15" spans="1:20" s="16" customFormat="1" ht="35.1" customHeight="1" thickBot="1" x14ac:dyDescent="0.25">
      <c r="B15" s="1262" t="s">
        <v>213</v>
      </c>
      <c r="C15" s="1263"/>
      <c r="D15" s="201" t="e">
        <f>VLOOKUP($F$8,'DATOS @ '!$C$16:$L$22,8,FALSE)</f>
        <v>#N/A</v>
      </c>
      <c r="E15" s="202"/>
      <c r="F15" s="17"/>
      <c r="G15" s="1267" t="s">
        <v>252</v>
      </c>
      <c r="H15" s="1268"/>
      <c r="I15" s="1269" t="e">
        <f>VLOOKUP($K$8,'DATOS @ '!$B$27:$V$88,19,FALSE)</f>
        <v>#N/A</v>
      </c>
      <c r="J15" s="1270"/>
      <c r="K15" s="10"/>
      <c r="L15" s="10"/>
    </row>
    <row r="16" spans="1:20" s="16" customFormat="1" ht="9.9499999999999993" customHeight="1" thickBot="1" x14ac:dyDescent="0.3">
      <c r="B16" s="19"/>
      <c r="C16" s="19"/>
      <c r="D16" s="19"/>
      <c r="E16" s="19"/>
      <c r="F16" s="19"/>
      <c r="G16" s="20"/>
      <c r="H16" s="20"/>
      <c r="I16" s="21"/>
      <c r="J16" s="19"/>
      <c r="K16" s="10"/>
      <c r="L16" s="10"/>
    </row>
    <row r="17" spans="1:12" s="16" customFormat="1" ht="35.1" customHeight="1" thickBot="1" x14ac:dyDescent="0.3">
      <c r="B17" s="1136" t="s">
        <v>10</v>
      </c>
      <c r="C17" s="1137"/>
      <c r="D17" s="1077"/>
      <c r="E17" s="1077"/>
      <c r="F17" s="1077"/>
      <c r="G17" s="1077"/>
      <c r="H17" s="1077"/>
      <c r="I17" s="1077"/>
      <c r="J17" s="1078"/>
      <c r="K17" s="10"/>
      <c r="L17" s="10"/>
    </row>
    <row r="18" spans="1:12" s="16" customFormat="1" ht="35.1" customHeight="1" thickBot="1" x14ac:dyDescent="0.3">
      <c r="B18" s="1157" t="s">
        <v>78</v>
      </c>
      <c r="C18" s="1158"/>
      <c r="D18" s="1149"/>
      <c r="E18" s="189"/>
      <c r="F18" s="1151"/>
      <c r="G18" s="1138" t="s">
        <v>214</v>
      </c>
      <c r="H18" s="1139"/>
      <c r="I18" s="1139"/>
      <c r="J18" s="1140"/>
      <c r="K18" s="10"/>
      <c r="L18" s="10"/>
    </row>
    <row r="19" spans="1:12" s="16" customFormat="1" ht="35.1" customHeight="1" thickBot="1" x14ac:dyDescent="0.3">
      <c r="B19" s="1159"/>
      <c r="C19" s="1160"/>
      <c r="D19" s="1150"/>
      <c r="E19" s="190"/>
      <c r="F19" s="1152"/>
      <c r="G19" s="1141" t="s">
        <v>79</v>
      </c>
      <c r="H19" s="1132" t="s">
        <v>94</v>
      </c>
      <c r="I19" s="1132" t="s">
        <v>12</v>
      </c>
      <c r="J19" s="1134" t="s">
        <v>215</v>
      </c>
      <c r="K19" s="10"/>
      <c r="L19" s="10"/>
    </row>
    <row r="20" spans="1:12" s="16" customFormat="1" ht="35.1" customHeight="1" thickBot="1" x14ac:dyDescent="0.3">
      <c r="B20" s="1161"/>
      <c r="C20" s="1162"/>
      <c r="D20" s="1145"/>
      <c r="E20" s="1146"/>
      <c r="F20" s="1146"/>
      <c r="G20" s="1142"/>
      <c r="H20" s="1133"/>
      <c r="I20" s="1133"/>
      <c r="J20" s="1135"/>
      <c r="K20" s="10"/>
      <c r="L20" s="10"/>
    </row>
    <row r="21" spans="1:12" s="16" customFormat="1" ht="35.1" customHeight="1" thickBot="1" x14ac:dyDescent="0.3">
      <c r="B21" s="1157" t="s">
        <v>11</v>
      </c>
      <c r="C21" s="1158"/>
      <c r="D21" s="1147"/>
      <c r="E21" s="1148"/>
      <c r="F21" s="1148"/>
      <c r="G21" s="670" t="e">
        <f>VLOOKUP($K$21,'DATOS @ '!$C$27:$V$88,8,FALSE)</f>
        <v>#N/A</v>
      </c>
      <c r="H21" s="211" t="e">
        <f>VLOOKUP($K$21,'DATOS @ '!$C$27:$V$88,14,FALSE)</f>
        <v>#N/A</v>
      </c>
      <c r="I21" s="671" t="e">
        <f>VLOOKUP($K$21,'DATOS @ '!$C$27:$V$88,16,FALSE)</f>
        <v>#N/A</v>
      </c>
      <c r="J21" s="672" t="e">
        <f>VLOOKUP($K$21,'DATOS @ '!$C$27:$V$88,5,FALSE)</f>
        <v>#N/A</v>
      </c>
      <c r="K21" s="192"/>
      <c r="L21" s="10"/>
    </row>
    <row r="22" spans="1:12" s="16" customFormat="1" ht="35.1" customHeight="1" thickBot="1" x14ac:dyDescent="0.3">
      <c r="B22" s="1159"/>
      <c r="C22" s="1160"/>
      <c r="D22" s="123"/>
      <c r="E22" s="123"/>
      <c r="F22" s="191"/>
      <c r="G22" s="194" t="e">
        <f>VLOOKUP($K$22,'DATOS @ '!$C$27:$V$88,8,FALSE)</f>
        <v>#N/A</v>
      </c>
      <c r="H22" s="369" t="e">
        <f>VLOOKUP($K$22,'DATOS @ '!$C$27:$V$88,14,FALSE)</f>
        <v>#N/A</v>
      </c>
      <c r="I22" s="46" t="e">
        <f>VLOOKUP($K$22,'DATOS @ '!$C$27:$V$88,16,FALSE)</f>
        <v>#N/A</v>
      </c>
      <c r="J22" s="196" t="e">
        <f>VLOOKUP($K$22,'DATOS @ '!$C$27:$V$88,5,FALSE)</f>
        <v>#N/A</v>
      </c>
      <c r="K22" s="192"/>
      <c r="L22" s="10"/>
    </row>
    <row r="23" spans="1:12" s="16" customFormat="1" ht="35.1" customHeight="1" thickBot="1" x14ac:dyDescent="0.3">
      <c r="A23" s="19"/>
      <c r="B23" s="1161"/>
      <c r="C23" s="1162"/>
      <c r="D23" s="1153"/>
      <c r="E23" s="1154"/>
      <c r="F23" s="1154"/>
      <c r="G23" s="195" t="e">
        <f>VLOOKUP($K$23,'DATOS @ '!$C$27:$V$88,8,FALSE)</f>
        <v>#N/A</v>
      </c>
      <c r="H23" s="369" t="e">
        <f>VLOOKUP($K$23,'DATOS @ '!$C$27:$V$88,14,FALSE)</f>
        <v>#N/A</v>
      </c>
      <c r="I23" s="223" t="e">
        <f>VLOOKUP($K$23,'DATOS @ '!$C$27:$V$88,16,FALSE)</f>
        <v>#N/A</v>
      </c>
      <c r="J23" s="196" t="e">
        <f>VLOOKUP($K$23,'DATOS @ '!$C$27:$V$88,5,FALSE)</f>
        <v>#N/A</v>
      </c>
      <c r="K23" s="368"/>
      <c r="L23" s="10"/>
    </row>
    <row r="24" spans="1:12" s="16" customFormat="1" ht="35.1" customHeight="1" thickBot="1" x14ac:dyDescent="0.3">
      <c r="A24" s="19"/>
      <c r="C24" s="1155" t="s">
        <v>245</v>
      </c>
      <c r="D24" s="1156"/>
      <c r="E24" s="203"/>
      <c r="G24" s="195" t="e">
        <f>VLOOKUP($K$24,'DATOS @ '!$C$27:$V$88,8,FALSE)</f>
        <v>#N/A</v>
      </c>
      <c r="H24" s="369" t="e">
        <f>VLOOKUP($K$24,'DATOS @ '!$C$27:$V$88,14,FALSE)</f>
        <v>#N/A</v>
      </c>
      <c r="I24" s="223" t="e">
        <f>VLOOKUP($K$24,'DATOS @ '!$C$27:$V$88,16,FALSE)</f>
        <v>#N/A</v>
      </c>
      <c r="J24" s="196" t="e">
        <f>VLOOKUP($K$24,'DATOS @ '!$C$27:$V$88,5,FALSE)</f>
        <v>#N/A</v>
      </c>
      <c r="K24" s="192"/>
      <c r="L24" s="10"/>
    </row>
    <row r="25" spans="1:12" s="16" customFormat="1" ht="35.1" customHeight="1" thickBot="1" x14ac:dyDescent="0.3">
      <c r="A25" s="22"/>
      <c r="B25" s="392" t="s">
        <v>198</v>
      </c>
      <c r="C25" s="830" t="s">
        <v>95</v>
      </c>
      <c r="D25" s="831" t="s">
        <v>53</v>
      </c>
      <c r="E25" s="826" t="s">
        <v>112</v>
      </c>
      <c r="G25" s="197" t="e">
        <f>G22+G23+G24+B26</f>
        <v>#N/A</v>
      </c>
      <c r="H25" s="673" t="e">
        <f>H22+H23+H24+C26</f>
        <v>#N/A</v>
      </c>
      <c r="I25" s="168" t="e">
        <f>I22+I23+I24+D26</f>
        <v>#N/A</v>
      </c>
      <c r="J25" s="188" t="e">
        <f>VLOOKUP($K$24,'DATOS @ '!$C$27:$V$88,5,FALSE)</f>
        <v>#N/A</v>
      </c>
      <c r="K25" s="832"/>
    </row>
    <row r="26" spans="1:12" s="16" customFormat="1" ht="35.1" customHeight="1" thickBot="1" x14ac:dyDescent="0.3">
      <c r="A26" s="19"/>
      <c r="B26" s="827" t="e">
        <f>VLOOKUP($E$24,'DATOS @ '!$C$27:$V$88,8,FALSE)</f>
        <v>#N/A</v>
      </c>
      <c r="C26" s="828" t="e">
        <f>VLOOKUP($E$24,'DATOS @ '!$C$27:$V$88,14,FALSE)</f>
        <v>#N/A</v>
      </c>
      <c r="D26" s="828" t="e">
        <f>VLOOKUP($E$24,'DATOS @ '!$C$27:$V$88,16,FALSE)</f>
        <v>#N/A</v>
      </c>
      <c r="E26" s="829" t="e">
        <f>VLOOKUP($E$24,'DATOS @ '!$C$27:$V$88,5,FALSE)</f>
        <v>#N/A</v>
      </c>
      <c r="F26" s="23" t="s">
        <v>89</v>
      </c>
      <c r="G26" s="24">
        <f>5-2</f>
        <v>3</v>
      </c>
      <c r="H26" s="10"/>
      <c r="I26" s="193"/>
    </row>
    <row r="27" spans="1:12" s="16" customFormat="1" ht="36" customHeight="1" thickBot="1" x14ac:dyDescent="0.3">
      <c r="A27" s="19"/>
      <c r="B27" s="1227" t="s">
        <v>222</v>
      </c>
      <c r="C27" s="1228"/>
      <c r="D27" s="1228"/>
      <c r="E27" s="1228"/>
      <c r="F27" s="1228"/>
      <c r="G27" s="1228"/>
      <c r="H27" s="1228"/>
      <c r="I27" s="1228"/>
      <c r="J27" s="1228"/>
      <c r="K27" s="1229"/>
    </row>
    <row r="28" spans="1:12" ht="49.5" customHeight="1" x14ac:dyDescent="0.25">
      <c r="A28" s="19"/>
      <c r="B28" s="179" t="s">
        <v>3</v>
      </c>
      <c r="C28" s="180" t="e">
        <f>VLOOKUP($K$28,'DATOS @ '!$G$153:$T$166,2,FALSE)</f>
        <v>#N/A</v>
      </c>
      <c r="D28" s="181" t="s">
        <v>71</v>
      </c>
      <c r="E28" s="182" t="e">
        <f>VLOOKUP($K$28,'DATOS @ '!$G$153:$T$166,3,FALSE)</f>
        <v>#N/A</v>
      </c>
      <c r="F28" s="183" t="s">
        <v>2</v>
      </c>
      <c r="G28" s="1230" t="e">
        <f>VLOOKUP($K$28,'DATOS @ '!$G$153:$T$166,5,FALSE)</f>
        <v>#N/A</v>
      </c>
      <c r="H28" s="1231"/>
      <c r="I28" s="181" t="s">
        <v>223</v>
      </c>
      <c r="J28" s="184" t="e">
        <f>VLOOKUP($K$28,'DATOS @ '!$G$153:$T$166,4,FALSE)</f>
        <v>#N/A</v>
      </c>
      <c r="K28" s="1143"/>
    </row>
    <row r="29" spans="1:12" ht="35.1" customHeight="1" thickBot="1" x14ac:dyDescent="0.3">
      <c r="A29" s="19"/>
      <c r="B29" s="1206" t="s">
        <v>225</v>
      </c>
      <c r="C29" s="1207"/>
      <c r="D29" s="185" t="s">
        <v>5</v>
      </c>
      <c r="E29" s="186" t="e">
        <f>VLOOKUP($K$28,'DATOS @ '!$G$153:$T$166,6,FALSE)</f>
        <v>#N/A</v>
      </c>
      <c r="F29" s="1232" t="s">
        <v>462</v>
      </c>
      <c r="G29" s="1232"/>
      <c r="H29" s="186" t="e">
        <f>VLOOKUP($K$28,'DATOS @ '!$G$153:$T$166,7,FALSE)</f>
        <v>#N/A</v>
      </c>
      <c r="I29" s="187" t="s">
        <v>4</v>
      </c>
      <c r="J29" s="188" t="e">
        <f>VLOOKUP($K$28,'DATOS @ '!$G$153:$T$166,8,FALSE)</f>
        <v>#N/A</v>
      </c>
      <c r="K29" s="1144"/>
    </row>
    <row r="30" spans="1:12" ht="35.1" customHeight="1" thickBot="1" x14ac:dyDescent="0.3">
      <c r="A30" s="19"/>
      <c r="B30" s="1"/>
      <c r="C30" s="1"/>
      <c r="D30" s="1"/>
      <c r="E30" s="1"/>
      <c r="F30" s="1"/>
      <c r="G30" s="1"/>
      <c r="H30" s="1"/>
      <c r="I30" s="1"/>
      <c r="J30" s="1"/>
      <c r="K30" s="1"/>
    </row>
    <row r="31" spans="1:12" ht="35.1" customHeight="1" thickBot="1" x14ac:dyDescent="0.25">
      <c r="A31" s="25"/>
      <c r="B31" s="1076" t="s">
        <v>54</v>
      </c>
      <c r="C31" s="1077"/>
      <c r="D31" s="1077"/>
      <c r="E31" s="1077"/>
      <c r="F31" s="1077"/>
      <c r="G31" s="1077"/>
      <c r="H31" s="1077"/>
      <c r="I31" s="1078"/>
      <c r="K31" s="1233" t="s">
        <v>457</v>
      </c>
      <c r="L31" s="1234"/>
    </row>
    <row r="32" spans="1:12" ht="38.25" customHeight="1" thickBot="1" x14ac:dyDescent="0.25">
      <c r="B32" s="261" t="s">
        <v>243</v>
      </c>
      <c r="C32" s="314"/>
      <c r="D32" s="315" t="s">
        <v>5</v>
      </c>
      <c r="E32" s="316"/>
      <c r="F32" s="717" t="s">
        <v>462</v>
      </c>
      <c r="G32" s="316"/>
      <c r="H32" s="311" t="s">
        <v>4</v>
      </c>
      <c r="I32" s="317"/>
      <c r="K32" s="26" t="s">
        <v>47</v>
      </c>
      <c r="L32" s="716" t="e">
        <f>VLOOKUP($K$8,'DATOS @ '!$B$27:$V$88,21,FALSE)</f>
        <v>#N/A</v>
      </c>
    </row>
    <row r="33" spans="1:15" ht="35.1" customHeight="1" thickBot="1" x14ac:dyDescent="0.25">
      <c r="A33" s="6"/>
      <c r="B33" s="1163" t="s">
        <v>13</v>
      </c>
      <c r="C33" s="1164"/>
      <c r="D33" s="1164"/>
      <c r="E33" s="1164"/>
      <c r="F33" s="1164"/>
      <c r="G33" s="1165"/>
    </row>
    <row r="34" spans="1:15" ht="35.1" customHeight="1" thickBot="1" x14ac:dyDescent="0.25">
      <c r="A34" s="6"/>
      <c r="C34" s="310" t="s">
        <v>49</v>
      </c>
      <c r="D34" s="311" t="s">
        <v>48</v>
      </c>
      <c r="E34" s="312">
        <f>E19</f>
        <v>0</v>
      </c>
      <c r="F34" s="311" t="s">
        <v>41</v>
      </c>
      <c r="G34" s="313">
        <f>E34*1000</f>
        <v>0</v>
      </c>
    </row>
    <row r="35" spans="1:15" ht="35.1" customHeight="1" x14ac:dyDescent="0.2">
      <c r="A35" s="6"/>
      <c r="B35" s="735" t="s">
        <v>14</v>
      </c>
      <c r="C35" s="730">
        <v>1</v>
      </c>
      <c r="D35" s="174">
        <v>2</v>
      </c>
      <c r="E35" s="174">
        <v>3</v>
      </c>
      <c r="F35" s="174">
        <v>4</v>
      </c>
      <c r="G35" s="175">
        <v>5</v>
      </c>
    </row>
    <row r="36" spans="1:15" ht="35.1" customHeight="1" x14ac:dyDescent="0.2">
      <c r="A36" s="6"/>
      <c r="B36" s="736" t="s">
        <v>216</v>
      </c>
      <c r="C36" s="731"/>
      <c r="D36" s="295"/>
      <c r="E36" s="295"/>
      <c r="F36" s="295"/>
      <c r="G36" s="308"/>
    </row>
    <row r="37" spans="1:15" ht="35.1" customHeight="1" x14ac:dyDescent="0.2">
      <c r="A37" s="6"/>
      <c r="B37" s="736" t="s">
        <v>15</v>
      </c>
      <c r="C37" s="732">
        <f>$C$36-C36</f>
        <v>0</v>
      </c>
      <c r="D37" s="27">
        <f t="shared" ref="D37:G37" si="0">$C$36-D36</f>
        <v>0</v>
      </c>
      <c r="E37" s="27">
        <f t="shared" si="0"/>
        <v>0</v>
      </c>
      <c r="F37" s="27">
        <f>$C$36-F36</f>
        <v>0</v>
      </c>
      <c r="G37" s="176">
        <f t="shared" si="0"/>
        <v>0</v>
      </c>
    </row>
    <row r="38" spans="1:15" ht="35.1" customHeight="1" thickBot="1" x14ac:dyDescent="0.25">
      <c r="A38" s="6"/>
      <c r="B38" s="737" t="s">
        <v>40</v>
      </c>
      <c r="C38" s="733">
        <f>ABS(C37)</f>
        <v>0</v>
      </c>
      <c r="D38" s="177">
        <f>ABS(D37)</f>
        <v>0</v>
      </c>
      <c r="E38" s="177">
        <f t="shared" ref="E38:G38" si="1">ABS(E37)</f>
        <v>0</v>
      </c>
      <c r="F38" s="177">
        <f t="shared" si="1"/>
        <v>0</v>
      </c>
      <c r="G38" s="178">
        <f t="shared" si="1"/>
        <v>0</v>
      </c>
    </row>
    <row r="39" spans="1:15" ht="35.1" customHeight="1" thickBot="1" x14ac:dyDescent="0.3">
      <c r="A39" s="6"/>
      <c r="B39" s="309" t="s">
        <v>41</v>
      </c>
      <c r="C39" s="734">
        <f>MAX(C38:G38)*1000</f>
        <v>0</v>
      </c>
      <c r="D39" s="28"/>
      <c r="E39" s="28"/>
      <c r="F39" s="28"/>
      <c r="G39" s="28"/>
    </row>
    <row r="40" spans="1:15" ht="9.9499999999999993" customHeight="1" thickBot="1" x14ac:dyDescent="0.25">
      <c r="A40" s="6"/>
    </row>
    <row r="41" spans="1:15" ht="35.1" customHeight="1" thickBot="1" x14ac:dyDescent="0.25">
      <c r="B41" s="1076" t="s">
        <v>16</v>
      </c>
      <c r="C41" s="1077"/>
      <c r="D41" s="1077"/>
      <c r="E41" s="1077"/>
      <c r="F41" s="1077"/>
      <c r="G41" s="1077"/>
      <c r="H41" s="1077"/>
      <c r="I41" s="1077"/>
      <c r="J41" s="1077"/>
      <c r="K41" s="1078"/>
      <c r="M41" s="1239" t="s">
        <v>90</v>
      </c>
      <c r="N41" s="1273"/>
      <c r="O41" s="1240"/>
    </row>
    <row r="42" spans="1:15" s="29" customFormat="1" ht="35.1" customHeight="1" thickBot="1" x14ac:dyDescent="0.25">
      <c r="B42" s="1210" t="s">
        <v>19</v>
      </c>
      <c r="C42" s="1211"/>
      <c r="D42" s="1211"/>
      <c r="E42" s="1211"/>
      <c r="F42" s="1211"/>
      <c r="G42" s="1211"/>
      <c r="H42" s="1211"/>
      <c r="I42" s="1211"/>
      <c r="J42" s="1212"/>
      <c r="K42" s="219" t="s">
        <v>44</v>
      </c>
      <c r="M42" s="1274"/>
      <c r="N42" s="1275"/>
      <c r="O42" s="1276"/>
    </row>
    <row r="43" spans="1:15" ht="35.1" customHeight="1" thickBot="1" x14ac:dyDescent="0.25">
      <c r="A43" s="378" t="s">
        <v>17</v>
      </c>
      <c r="B43" s="305">
        <v>1</v>
      </c>
      <c r="C43" s="306">
        <v>2</v>
      </c>
      <c r="D43" s="306">
        <v>3</v>
      </c>
      <c r="E43" s="306">
        <v>4</v>
      </c>
      <c r="F43" s="306">
        <v>5</v>
      </c>
      <c r="G43" s="306">
        <v>6</v>
      </c>
      <c r="H43" s="306">
        <v>7</v>
      </c>
      <c r="I43" s="306">
        <v>8</v>
      </c>
      <c r="J43" s="306">
        <v>9</v>
      </c>
      <c r="K43" s="307">
        <v>10</v>
      </c>
      <c r="M43" s="1277"/>
      <c r="N43" s="1278"/>
      <c r="O43" s="1279"/>
    </row>
    <row r="44" spans="1:15" ht="35.1" customHeight="1" x14ac:dyDescent="0.2">
      <c r="A44" s="379">
        <f>D22</f>
        <v>0</v>
      </c>
      <c r="B44" s="370"/>
      <c r="C44" s="372"/>
      <c r="D44" s="372"/>
      <c r="E44" s="372"/>
      <c r="F44" s="372"/>
      <c r="G44" s="372"/>
      <c r="H44" s="372"/>
      <c r="I44" s="372"/>
      <c r="J44" s="372"/>
      <c r="K44" s="373"/>
      <c r="M44" s="1277"/>
      <c r="N44" s="1278"/>
      <c r="O44" s="1279"/>
    </row>
    <row r="45" spans="1:15" ht="35.1" customHeight="1" x14ac:dyDescent="0.2">
      <c r="A45" s="379">
        <f>E22</f>
        <v>0</v>
      </c>
      <c r="B45" s="374"/>
      <c r="C45" s="371"/>
      <c r="D45" s="371"/>
      <c r="E45" s="371"/>
      <c r="F45" s="371"/>
      <c r="G45" s="371"/>
      <c r="H45" s="371"/>
      <c r="I45" s="371"/>
      <c r="J45" s="371"/>
      <c r="K45" s="375"/>
      <c r="M45" s="1277"/>
      <c r="N45" s="1278"/>
      <c r="O45" s="1279"/>
    </row>
    <row r="46" spans="1:15" ht="35.1" customHeight="1" thickBot="1" x14ac:dyDescent="0.25">
      <c r="A46" s="380">
        <f>F22</f>
        <v>0</v>
      </c>
      <c r="B46" s="382"/>
      <c r="C46" s="383"/>
      <c r="D46" s="383"/>
      <c r="E46" s="383"/>
      <c r="F46" s="377"/>
      <c r="G46" s="377"/>
      <c r="H46" s="377"/>
      <c r="I46" s="377"/>
      <c r="J46" s="377"/>
      <c r="K46" s="381"/>
      <c r="M46" s="1277"/>
      <c r="N46" s="1278"/>
      <c r="O46" s="1279"/>
    </row>
    <row r="47" spans="1:15" ht="35.1" customHeight="1" thickBot="1" x14ac:dyDescent="0.25">
      <c r="B47" s="378" t="s">
        <v>17</v>
      </c>
      <c r="C47" s="392" t="s">
        <v>18</v>
      </c>
      <c r="D47" s="204" t="s">
        <v>57</v>
      </c>
      <c r="E47" s="393" t="s">
        <v>56</v>
      </c>
      <c r="F47" s="394" t="s">
        <v>217</v>
      </c>
      <c r="H47" s="1"/>
      <c r="J47" s="1"/>
      <c r="K47" s="30"/>
      <c r="M47" s="1277"/>
      <c r="N47" s="1278"/>
      <c r="O47" s="1279"/>
    </row>
    <row r="48" spans="1:15" ht="35.1" customHeight="1" thickBot="1" x14ac:dyDescent="0.25">
      <c r="B48" s="387">
        <f>A44</f>
        <v>0</v>
      </c>
      <c r="C48" s="389" t="e">
        <f>AVERAGE(B44:K44)</f>
        <v>#DIV/0!</v>
      </c>
      <c r="D48" s="390" t="e">
        <f>_xlfn.STDEV.S(B44:K44)</f>
        <v>#DIV/0!</v>
      </c>
      <c r="E48" s="391" t="e">
        <f>D48*1000</f>
        <v>#DIV/0!</v>
      </c>
      <c r="F48" s="620" t="e">
        <f>MAX(E48:E50)</f>
        <v>#DIV/0!</v>
      </c>
      <c r="H48" s="1"/>
      <c r="I48" s="1"/>
      <c r="J48" s="7"/>
      <c r="K48" s="1"/>
      <c r="M48" s="1277"/>
      <c r="N48" s="1278"/>
      <c r="O48" s="1279"/>
    </row>
    <row r="49" spans="1:15" ht="35.1" customHeight="1" thickBot="1" x14ac:dyDescent="0.25">
      <c r="B49" s="387">
        <f>A45</f>
        <v>0</v>
      </c>
      <c r="C49" s="385" t="e">
        <f t="shared" ref="C49:C50" si="2">AVERAGE(B45:K45)</f>
        <v>#DIV/0!</v>
      </c>
      <c r="D49" s="223" t="e">
        <f t="shared" ref="D49:D50" si="3">_xlfn.STDEV.S(B45:K45)</f>
        <v>#DIV/0!</v>
      </c>
      <c r="E49" s="384" t="e">
        <f t="shared" ref="E49:E50" si="4">D49*1000</f>
        <v>#DIV/0!</v>
      </c>
      <c r="F49" s="7"/>
      <c r="H49" s="1"/>
      <c r="I49" s="1"/>
      <c r="J49" s="7"/>
      <c r="K49" s="1"/>
      <c r="M49" s="1280"/>
      <c r="N49" s="1281"/>
      <c r="O49" s="1282"/>
    </row>
    <row r="50" spans="1:15" ht="35.1" customHeight="1" thickBot="1" x14ac:dyDescent="0.25">
      <c r="A50" s="6"/>
      <c r="B50" s="388">
        <f>A46</f>
        <v>0</v>
      </c>
      <c r="C50" s="386" t="e">
        <f t="shared" si="2"/>
        <v>#DIV/0!</v>
      </c>
      <c r="D50" s="172" t="e">
        <f t="shared" si="3"/>
        <v>#DIV/0!</v>
      </c>
      <c r="E50" s="173" t="e">
        <f t="shared" si="4"/>
        <v>#DIV/0!</v>
      </c>
      <c r="F50" s="7"/>
      <c r="H50" s="1"/>
      <c r="I50" s="7"/>
      <c r="J50" s="7"/>
      <c r="K50" s="7"/>
    </row>
    <row r="51" spans="1:15" ht="29.25" customHeight="1" thickBot="1" x14ac:dyDescent="0.25">
      <c r="A51" s="6"/>
      <c r="B51" s="1"/>
      <c r="C51" s="1"/>
      <c r="D51" s="1"/>
      <c r="E51" s="1"/>
      <c r="F51" s="1"/>
      <c r="G51" s="1"/>
      <c r="H51" s="1"/>
      <c r="I51" s="7"/>
      <c r="J51" s="7"/>
      <c r="K51" s="7"/>
    </row>
    <row r="52" spans="1:15" ht="35.1" customHeight="1" thickBot="1" x14ac:dyDescent="0.25">
      <c r="A52" s="6"/>
      <c r="B52" s="1076" t="s">
        <v>22</v>
      </c>
      <c r="C52" s="1077"/>
      <c r="D52" s="1077"/>
      <c r="E52" s="1077"/>
      <c r="F52" s="1077"/>
      <c r="G52" s="1077"/>
      <c r="H52" s="1077"/>
      <c r="I52" s="1077"/>
      <c r="J52" s="1077"/>
      <c r="K52" s="1077"/>
      <c r="L52" s="1078"/>
      <c r="N52" s="1244"/>
      <c r="O52" s="1245"/>
    </row>
    <row r="53" spans="1:15" ht="35.1" customHeight="1" thickBot="1" x14ac:dyDescent="0.25">
      <c r="B53" s="1076" t="s">
        <v>86</v>
      </c>
      <c r="C53" s="1077"/>
      <c r="D53" s="1077"/>
      <c r="E53" s="1078"/>
      <c r="F53" s="32"/>
      <c r="G53" s="1076" t="s">
        <v>271</v>
      </c>
      <c r="H53" s="1077"/>
      <c r="I53" s="1077"/>
      <c r="J53" s="1077"/>
      <c r="K53" s="1077"/>
      <c r="L53" s="1078"/>
    </row>
    <row r="54" spans="1:15" ht="46.5" customHeight="1" thickBot="1" x14ac:dyDescent="0.25">
      <c r="A54" s="6"/>
      <c r="B54" s="318" t="s">
        <v>283</v>
      </c>
      <c r="C54" s="207" t="s">
        <v>105</v>
      </c>
      <c r="D54" s="205" t="s">
        <v>30</v>
      </c>
      <c r="E54" s="206" t="s">
        <v>30</v>
      </c>
      <c r="F54" s="32"/>
      <c r="G54" s="396" t="s">
        <v>105</v>
      </c>
      <c r="H54" s="397" t="s">
        <v>218</v>
      </c>
      <c r="I54" s="397"/>
      <c r="J54" s="397"/>
      <c r="K54" s="398" t="s">
        <v>30</v>
      </c>
      <c r="L54" s="399" t="s">
        <v>30</v>
      </c>
      <c r="N54" s="1239" t="s">
        <v>247</v>
      </c>
      <c r="O54" s="1240"/>
    </row>
    <row r="55" spans="1:15" ht="35.1" customHeight="1" thickBot="1" x14ac:dyDescent="0.25">
      <c r="A55" s="6"/>
      <c r="B55" s="297" t="e">
        <f>H21</f>
        <v>#N/A</v>
      </c>
      <c r="C55" s="300"/>
      <c r="D55" s="298" t="e">
        <f>C55-B55</f>
        <v>#N/A</v>
      </c>
      <c r="E55" s="299" t="e">
        <f>D55*1000</f>
        <v>#N/A</v>
      </c>
      <c r="F55" s="32"/>
      <c r="G55" s="300"/>
      <c r="H55" s="301"/>
      <c r="I55" s="211" t="e">
        <f>AVERAGE(G55:H55)</f>
        <v>#DIV/0!</v>
      </c>
      <c r="J55" s="302" t="e">
        <f>I55*1000</f>
        <v>#DIV/0!</v>
      </c>
      <c r="K55" s="298" t="e">
        <f>I55-B55</f>
        <v>#DIV/0!</v>
      </c>
      <c r="L55" s="299" t="e">
        <f>K55*1000</f>
        <v>#DIV/0!</v>
      </c>
      <c r="N55" s="58" t="e">
        <f>VLOOKUP($N$52,'DATOS @ '!$A$156:$B$159,2,FALSE)</f>
        <v>#N/A</v>
      </c>
      <c r="O55" s="45"/>
    </row>
    <row r="56" spans="1:15" ht="35.1" customHeight="1" x14ac:dyDescent="0.2">
      <c r="A56" s="6"/>
      <c r="B56" s="208" t="e">
        <f>H22</f>
        <v>#N/A</v>
      </c>
      <c r="C56" s="374"/>
      <c r="D56" s="33" t="e">
        <f t="shared" ref="D56:D59" si="5">C56-B56</f>
        <v>#N/A</v>
      </c>
      <c r="E56" s="170" t="e">
        <f t="shared" ref="E56:E59" si="6">D56*1000</f>
        <v>#N/A</v>
      </c>
      <c r="F56" s="32"/>
      <c r="G56" s="374"/>
      <c r="H56" s="371"/>
      <c r="I56" s="260" t="e">
        <f>AVERAGE(G56:H56)</f>
        <v>#DIV/0!</v>
      </c>
      <c r="J56" s="296" t="e">
        <f>I56*1000</f>
        <v>#DIV/0!</v>
      </c>
      <c r="K56" s="33" t="e">
        <f>I56-B56</f>
        <v>#DIV/0!</v>
      </c>
      <c r="L56" s="170" t="e">
        <f t="shared" ref="L56:L59" si="7">K56*1000</f>
        <v>#DIV/0!</v>
      </c>
    </row>
    <row r="57" spans="1:15" ht="35.1" customHeight="1" x14ac:dyDescent="0.2">
      <c r="A57" s="6"/>
      <c r="B57" s="208" t="e">
        <f>H23</f>
        <v>#N/A</v>
      </c>
      <c r="C57" s="395"/>
      <c r="D57" s="33" t="e">
        <f t="shared" si="5"/>
        <v>#N/A</v>
      </c>
      <c r="E57" s="170" t="e">
        <f t="shared" si="6"/>
        <v>#N/A</v>
      </c>
      <c r="F57" s="32"/>
      <c r="G57" s="374"/>
      <c r="H57" s="371"/>
      <c r="I57" s="260" t="e">
        <f>AVERAGE(G57:H57)</f>
        <v>#DIV/0!</v>
      </c>
      <c r="J57" s="296" t="e">
        <f t="shared" ref="J57:J59" si="8">I57*1000</f>
        <v>#DIV/0!</v>
      </c>
      <c r="K57" s="33" t="e">
        <f>I57-B57</f>
        <v>#DIV/0!</v>
      </c>
      <c r="L57" s="561" t="e">
        <f t="shared" si="7"/>
        <v>#DIV/0!</v>
      </c>
    </row>
    <row r="58" spans="1:15" ht="35.1" customHeight="1" x14ac:dyDescent="0.2">
      <c r="A58" s="6"/>
      <c r="B58" s="208" t="e">
        <f>H24</f>
        <v>#N/A</v>
      </c>
      <c r="C58" s="374"/>
      <c r="D58" s="33" t="e">
        <f t="shared" si="5"/>
        <v>#N/A</v>
      </c>
      <c r="E58" s="170" t="e">
        <f t="shared" si="6"/>
        <v>#N/A</v>
      </c>
      <c r="F58" s="32"/>
      <c r="G58" s="374"/>
      <c r="H58" s="371"/>
      <c r="I58" s="260" t="e">
        <f>AVERAGE(G58:H58)</f>
        <v>#DIV/0!</v>
      </c>
      <c r="J58" s="296" t="e">
        <f t="shared" si="8"/>
        <v>#DIV/0!</v>
      </c>
      <c r="K58" s="33" t="e">
        <f>I58-B58</f>
        <v>#DIV/0!</v>
      </c>
      <c r="L58" s="561" t="e">
        <f t="shared" si="7"/>
        <v>#DIV/0!</v>
      </c>
    </row>
    <row r="59" spans="1:15" ht="35.1" customHeight="1" thickBot="1" x14ac:dyDescent="0.25">
      <c r="A59" s="6"/>
      <c r="B59" s="209" t="e">
        <f>H25</f>
        <v>#N/A</v>
      </c>
      <c r="C59" s="376"/>
      <c r="D59" s="169" t="e">
        <f t="shared" si="5"/>
        <v>#N/A</v>
      </c>
      <c r="E59" s="171" t="e">
        <f t="shared" si="6"/>
        <v>#N/A</v>
      </c>
      <c r="F59" s="32"/>
      <c r="G59" s="376"/>
      <c r="H59" s="377"/>
      <c r="I59" s="303" t="e">
        <f t="shared" ref="I59" si="9">AVERAGE(G59:H59)</f>
        <v>#DIV/0!</v>
      </c>
      <c r="J59" s="304" t="e">
        <f t="shared" si="8"/>
        <v>#DIV/0!</v>
      </c>
      <c r="K59" s="169" t="e">
        <f>I59-B59</f>
        <v>#DIV/0!</v>
      </c>
      <c r="L59" s="562" t="e">
        <f t="shared" si="7"/>
        <v>#DIV/0!</v>
      </c>
    </row>
    <row r="60" spans="1:15" ht="9.9499999999999993" customHeight="1" thickBot="1" x14ac:dyDescent="0.25">
      <c r="A60" s="6"/>
      <c r="L60" s="6"/>
    </row>
    <row r="61" spans="1:15" ht="35.1" customHeight="1" thickBot="1" x14ac:dyDescent="0.25">
      <c r="A61" s="34"/>
      <c r="B61" s="1136" t="s">
        <v>55</v>
      </c>
      <c r="C61" s="1137"/>
      <c r="D61" s="1137"/>
      <c r="E61" s="1137"/>
      <c r="F61" s="1137"/>
      <c r="G61" s="1137"/>
      <c r="H61" s="1137"/>
      <c r="I61" s="1238"/>
      <c r="K61" s="1"/>
    </row>
    <row r="62" spans="1:15" ht="35.1" customHeight="1" thickBot="1" x14ac:dyDescent="0.25">
      <c r="A62" s="34"/>
      <c r="B62" s="236" t="s">
        <v>242</v>
      </c>
      <c r="C62" s="124"/>
      <c r="D62" s="56" t="s">
        <v>5</v>
      </c>
      <c r="E62" s="125"/>
      <c r="F62" s="636" t="s">
        <v>462</v>
      </c>
      <c r="G62" s="126"/>
      <c r="H62" s="57" t="s">
        <v>4</v>
      </c>
      <c r="I62" s="127"/>
      <c r="K62" s="1"/>
    </row>
    <row r="63" spans="1:15" ht="35.1" customHeight="1" thickBot="1" x14ac:dyDescent="0.25">
      <c r="A63" s="55"/>
      <c r="B63" s="55"/>
      <c r="C63" s="55"/>
      <c r="D63" s="55"/>
      <c r="E63" s="55"/>
      <c r="F63" s="55"/>
      <c r="G63" s="55"/>
      <c r="H63" s="55"/>
      <c r="I63" s="55"/>
      <c r="J63" s="55"/>
      <c r="K63" s="1"/>
    </row>
    <row r="64" spans="1:15" ht="42" customHeight="1" thickBot="1" x14ac:dyDescent="0.25">
      <c r="A64" s="55"/>
      <c r="B64" s="1105" t="s">
        <v>429</v>
      </c>
      <c r="C64" s="1106"/>
      <c r="D64" s="56" t="s">
        <v>5</v>
      </c>
      <c r="E64" s="60" t="e">
        <f>E32+(VLOOKUP(K28,'DATOS @ '!G153:T166,9,FALSE))*E32+(VLOOKUP(K28,'DATOS @ '!G153:T166,10,FALSE))</f>
        <v>#N/A</v>
      </c>
      <c r="F64" s="636" t="s">
        <v>462</v>
      </c>
      <c r="G64" s="60" t="e">
        <f>G32+(VLOOKUP(K28,'DATOS @ '!G153:T166,11,FALSE))*G32+(VLOOKUP(K28,'DATOS @ '!G153:T166,12,FALSE))</f>
        <v>#N/A</v>
      </c>
      <c r="H64" s="57" t="s">
        <v>4</v>
      </c>
      <c r="I64" s="60" t="e">
        <f>I32+(VLOOKUP(K28,'DATOS @ '!G153:T166,13,FALSE))*I32+(VLOOKUP(K28,'DATOS @ '!G153:T166,14,FALSE))</f>
        <v>#N/A</v>
      </c>
      <c r="K64" s="1"/>
    </row>
    <row r="65" spans="1:15" ht="42" customHeight="1" thickBot="1" x14ac:dyDescent="0.25">
      <c r="A65" s="55"/>
      <c r="B65" s="1105" t="s">
        <v>428</v>
      </c>
      <c r="C65" s="1106"/>
      <c r="D65" s="56" t="s">
        <v>5</v>
      </c>
      <c r="E65" s="60" t="e">
        <f>E62+(VLOOKUP(K28,'DATOS @ '!G153:T166,9,FALSE))*E62+(VLOOKUP(K28,'DATOS @ '!G153:T166,10,FALSE))</f>
        <v>#N/A</v>
      </c>
      <c r="F65" s="636" t="s">
        <v>462</v>
      </c>
      <c r="G65" s="238" t="e">
        <f>G62+(VLOOKUP(K28,'DATOS @ '!G153:T166,11,FALSE))*G62+(VLOOKUP(K28,'DATOS @ '!G153:T166,12,FALSE))</f>
        <v>#N/A</v>
      </c>
      <c r="H65" s="57" t="s">
        <v>4</v>
      </c>
      <c r="I65" s="60" t="e">
        <f>I62+(VLOOKUP(K28,'DATOS @ '!G153:T166,13,FALSE))*I62+(VLOOKUP(K28,'DATOS @ '!G153:T166,14,FALSE))</f>
        <v>#N/A</v>
      </c>
      <c r="K65" s="1"/>
    </row>
    <row r="66" spans="1:15" ht="21.75" customHeight="1" thickBot="1" x14ac:dyDescent="0.25">
      <c r="B66" s="1"/>
      <c r="C66" s="1"/>
      <c r="D66" s="1"/>
      <c r="E66" s="1"/>
      <c r="F66" s="1"/>
      <c r="G66" s="1"/>
      <c r="H66" s="1"/>
      <c r="I66" s="1"/>
      <c r="J66" s="1"/>
      <c r="K66" s="1"/>
    </row>
    <row r="67" spans="1:15" ht="35.1" customHeight="1" thickBot="1" x14ac:dyDescent="0.25">
      <c r="A67" s="1076" t="s">
        <v>29</v>
      </c>
      <c r="B67" s="1077"/>
      <c r="C67" s="1077"/>
      <c r="D67" s="1077"/>
      <c r="E67" s="1077"/>
      <c r="F67" s="1077"/>
      <c r="G67" s="1077"/>
      <c r="H67" s="1077"/>
      <c r="I67" s="1077"/>
      <c r="J67" s="1077"/>
      <c r="K67" s="1077"/>
      <c r="L67" s="1078"/>
    </row>
    <row r="68" spans="1:15" s="29" customFormat="1" ht="9.9499999999999993" customHeight="1" thickBot="1" x14ac:dyDescent="0.25"/>
    <row r="69" spans="1:15" ht="35.1" customHeight="1" thickBot="1" x14ac:dyDescent="0.25">
      <c r="B69" s="1"/>
      <c r="C69" s="1"/>
      <c r="D69" s="1"/>
      <c r="E69" s="1"/>
      <c r="F69" s="1079" t="s">
        <v>25</v>
      </c>
      <c r="G69" s="1080"/>
      <c r="H69" s="1080"/>
      <c r="I69" s="1080"/>
      <c r="J69" s="1081"/>
      <c r="K69" s="1"/>
    </row>
    <row r="70" spans="1:15" s="7" customFormat="1" ht="35.1" customHeight="1" thickBot="1" x14ac:dyDescent="0.25">
      <c r="D70" s="35"/>
      <c r="F70" s="226" t="e">
        <f>G21</f>
        <v>#N/A</v>
      </c>
      <c r="G70" s="227" t="e">
        <f>G22</f>
        <v>#N/A</v>
      </c>
      <c r="H70" s="227" t="e">
        <f>G23</f>
        <v>#N/A</v>
      </c>
      <c r="I70" s="227" t="e">
        <f>G24</f>
        <v>#N/A</v>
      </c>
      <c r="J70" s="228" t="e">
        <f>G25</f>
        <v>#N/A</v>
      </c>
      <c r="K70" s="1"/>
      <c r="L70" s="1"/>
      <c r="M70" s="1"/>
      <c r="N70" s="1"/>
      <c r="O70" s="1"/>
    </row>
    <row r="71" spans="1:15" s="29" customFormat="1" ht="9.9499999999999993" customHeight="1" thickBot="1" x14ac:dyDescent="0.25">
      <c r="L71" s="1"/>
      <c r="M71" s="1"/>
      <c r="N71" s="1"/>
      <c r="O71" s="1"/>
    </row>
    <row r="72" spans="1:15" ht="70.5" customHeight="1" thickBot="1" x14ac:dyDescent="0.25">
      <c r="A72" s="1239" t="s">
        <v>28</v>
      </c>
      <c r="B72" s="1273"/>
      <c r="C72" s="1273"/>
      <c r="D72" s="1273"/>
      <c r="E72" s="1240"/>
      <c r="F72" s="1076" t="s">
        <v>43</v>
      </c>
      <c r="G72" s="1077"/>
      <c r="H72" s="1077"/>
      <c r="I72" s="1077"/>
      <c r="J72" s="1077"/>
      <c r="K72" s="817" t="s">
        <v>24</v>
      </c>
      <c r="L72" s="818" t="s">
        <v>376</v>
      </c>
      <c r="M72" s="823" t="s">
        <v>437</v>
      </c>
    </row>
    <row r="73" spans="1:15" ht="35.1" customHeight="1" thickBot="1" x14ac:dyDescent="0.25">
      <c r="A73" s="1271" t="s">
        <v>20</v>
      </c>
      <c r="B73" s="1272"/>
      <c r="C73" s="548"/>
      <c r="D73" s="549"/>
      <c r="E73" s="551"/>
      <c r="F73" s="165" t="e">
        <f>(J55*$C$39)/(2*$G$34*SQRT(3))</f>
        <v>#DIV/0!</v>
      </c>
      <c r="G73" s="166" t="e">
        <f>(J56*$C$39)/(2*$G$34*SQRT(3))</f>
        <v>#DIV/0!</v>
      </c>
      <c r="H73" s="166" t="e">
        <f>(J57*$C$39)/(2*$G$34*SQRT(3))</f>
        <v>#DIV/0!</v>
      </c>
      <c r="I73" s="166" t="e">
        <f>(J58*$C$39)/(2*$G$34*SQRT(3))</f>
        <v>#DIV/0!</v>
      </c>
      <c r="J73" s="166" t="e">
        <f>(J59*$C$39)/(2*$G$34*SQRT(3))</f>
        <v>#DIV/0!</v>
      </c>
      <c r="K73" s="506" t="s">
        <v>45</v>
      </c>
      <c r="L73" s="807">
        <v>100</v>
      </c>
      <c r="M73" s="819" t="e">
        <f>(J73/$J$84)^2</f>
        <v>#DIV/0!</v>
      </c>
    </row>
    <row r="74" spans="1:15" ht="35.1" customHeight="1" thickBot="1" x14ac:dyDescent="0.25">
      <c r="A74" s="1201" t="s">
        <v>21</v>
      </c>
      <c r="B74" s="1202"/>
      <c r="C74" s="552"/>
      <c r="D74" s="550"/>
      <c r="E74" s="553"/>
      <c r="F74" s="167" t="e">
        <f>$F$48</f>
        <v>#DIV/0!</v>
      </c>
      <c r="G74" s="36" t="e">
        <f>$F$48</f>
        <v>#DIV/0!</v>
      </c>
      <c r="H74" s="36" t="e">
        <f>$F$48</f>
        <v>#DIV/0!</v>
      </c>
      <c r="I74" s="36" t="e">
        <f>$F$48</f>
        <v>#DIV/0!</v>
      </c>
      <c r="J74" s="36" t="e">
        <f>$F$48</f>
        <v>#DIV/0!</v>
      </c>
      <c r="K74" s="507" t="s">
        <v>46</v>
      </c>
      <c r="L74" s="802">
        <f>K43-1</f>
        <v>9</v>
      </c>
      <c r="M74" s="820" t="e">
        <f>(J74/$J$84)^2</f>
        <v>#DIV/0!</v>
      </c>
    </row>
    <row r="75" spans="1:15" ht="35.1" customHeight="1" thickBot="1" x14ac:dyDescent="0.25">
      <c r="A75" s="1099" t="s">
        <v>375</v>
      </c>
      <c r="B75" s="1100"/>
      <c r="C75" s="748"/>
      <c r="D75" s="749"/>
      <c r="E75" s="750"/>
      <c r="F75" s="167" t="e">
        <f t="shared" ref="F75:J76" si="10">($D$14*1000)/SQRT(12)</f>
        <v>#N/A</v>
      </c>
      <c r="G75" s="36" t="e">
        <f t="shared" si="10"/>
        <v>#N/A</v>
      </c>
      <c r="H75" s="36" t="e">
        <f t="shared" si="10"/>
        <v>#N/A</v>
      </c>
      <c r="I75" s="36" t="e">
        <f t="shared" si="10"/>
        <v>#N/A</v>
      </c>
      <c r="J75" s="36" t="e">
        <f t="shared" si="10"/>
        <v>#N/A</v>
      </c>
      <c r="K75" s="507" t="s">
        <v>45</v>
      </c>
      <c r="L75" s="802">
        <v>100</v>
      </c>
      <c r="M75" s="820" t="e">
        <f>(J75/$J$84)^2</f>
        <v>#N/A</v>
      </c>
      <c r="N75" s="557"/>
    </row>
    <row r="76" spans="1:15" ht="35.1" customHeight="1" thickBot="1" x14ac:dyDescent="0.25">
      <c r="A76" s="1097" t="s">
        <v>377</v>
      </c>
      <c r="B76" s="1098"/>
      <c r="C76" s="748"/>
      <c r="D76" s="749"/>
      <c r="E76" s="750"/>
      <c r="F76" s="808" t="e">
        <f t="shared" si="10"/>
        <v>#N/A</v>
      </c>
      <c r="G76" s="809" t="e">
        <f t="shared" si="10"/>
        <v>#N/A</v>
      </c>
      <c r="H76" s="809" t="e">
        <f t="shared" si="10"/>
        <v>#N/A</v>
      </c>
      <c r="I76" s="809" t="e">
        <f t="shared" si="10"/>
        <v>#N/A</v>
      </c>
      <c r="J76" s="809" t="e">
        <f t="shared" si="10"/>
        <v>#N/A</v>
      </c>
      <c r="K76" s="810" t="s">
        <v>45</v>
      </c>
      <c r="L76" s="811">
        <v>100</v>
      </c>
      <c r="M76" s="821" t="e">
        <f t="shared" ref="M76" si="11">(J76/$J$84)^2</f>
        <v>#N/A</v>
      </c>
    </row>
    <row r="77" spans="1:15" ht="35.1" customHeight="1" thickBot="1" x14ac:dyDescent="0.25">
      <c r="A77" s="32"/>
      <c r="B77" s="32"/>
      <c r="C77" s="751"/>
      <c r="D77" s="752"/>
      <c r="E77" s="753"/>
      <c r="F77" s="803" t="e">
        <f>SQRT((F73)^2+(F74)^2+(F75)^2+(F76)^2)</f>
        <v>#DIV/0!</v>
      </c>
      <c r="G77" s="804" t="e">
        <f t="shared" ref="G77:J77" si="12">SQRT((G73)^2+(G74)^2+(G75)^2+(G76)^2)</f>
        <v>#DIV/0!</v>
      </c>
      <c r="H77" s="804" t="e">
        <f t="shared" si="12"/>
        <v>#DIV/0!</v>
      </c>
      <c r="I77" s="804" t="e">
        <f t="shared" si="12"/>
        <v>#DIV/0!</v>
      </c>
      <c r="J77" s="805" t="e">
        <f t="shared" si="12"/>
        <v>#DIV/0!</v>
      </c>
      <c r="K77" s="806" t="s">
        <v>46</v>
      </c>
      <c r="M77" s="801"/>
    </row>
    <row r="78" spans="1:15" ht="34.5" customHeight="1" thickBot="1" x14ac:dyDescent="0.25">
      <c r="A78" s="32"/>
      <c r="B78" s="32"/>
      <c r="C78" s="32"/>
      <c r="D78" s="32"/>
      <c r="F78" s="1241" t="s">
        <v>259</v>
      </c>
      <c r="G78" s="1242"/>
      <c r="H78" s="1242"/>
      <c r="I78" s="1242"/>
      <c r="J78" s="1243"/>
      <c r="K78" s="1"/>
      <c r="M78" s="801"/>
    </row>
    <row r="79" spans="1:15" ht="35.1" customHeight="1" thickBot="1" x14ac:dyDescent="0.25">
      <c r="A79" s="1201" t="s">
        <v>23</v>
      </c>
      <c r="B79" s="1202"/>
      <c r="C79" s="1198"/>
      <c r="D79" s="1199"/>
      <c r="E79" s="1200"/>
      <c r="F79" s="162" t="e">
        <f>I21/L32</f>
        <v>#N/A</v>
      </c>
      <c r="G79" s="163" t="e">
        <f>I22/L32</f>
        <v>#N/A</v>
      </c>
      <c r="H79" s="163" t="e">
        <f>I23/L32</f>
        <v>#N/A</v>
      </c>
      <c r="I79" s="163" t="e">
        <f>I24/L32</f>
        <v>#N/A</v>
      </c>
      <c r="J79" s="163" t="e">
        <f>I25/L32</f>
        <v>#N/A</v>
      </c>
      <c r="K79" s="491" t="s">
        <v>46</v>
      </c>
      <c r="L79" s="807">
        <v>100</v>
      </c>
      <c r="M79" s="819" t="e">
        <f>+(J79/$J$84)^2</f>
        <v>#N/A</v>
      </c>
    </row>
    <row r="80" spans="1:15" ht="35.1" customHeight="1" x14ac:dyDescent="0.2">
      <c r="A80" s="1196" t="s">
        <v>393</v>
      </c>
      <c r="B80" s="1197"/>
      <c r="C80" s="1286"/>
      <c r="D80" s="1287"/>
      <c r="E80" s="1288"/>
      <c r="F80" s="164" t="e">
        <f>(3*I21)/(4*SQRT(3))</f>
        <v>#N/A</v>
      </c>
      <c r="G80" s="37" t="e">
        <f>(3*I22)/(4*SQRT(3))</f>
        <v>#N/A</v>
      </c>
      <c r="H80" s="37" t="e">
        <f>(3*I23)/(4*SQRT(3))</f>
        <v>#N/A</v>
      </c>
      <c r="I80" s="37" t="e">
        <f>(3*I24)/(4*SQRT(3))</f>
        <v>#N/A</v>
      </c>
      <c r="J80" s="37" t="e">
        <f>(3*I25)/(4*SQRT(3))</f>
        <v>#N/A</v>
      </c>
      <c r="K80" s="31" t="s">
        <v>45</v>
      </c>
      <c r="L80" s="802">
        <v>100</v>
      </c>
      <c r="M80" s="820" t="e">
        <f t="shared" ref="M80:M81" si="13">+(J80/$J$84)^2</f>
        <v>#N/A</v>
      </c>
    </row>
    <row r="81" spans="1:20" ht="35.1" customHeight="1" thickBot="1" x14ac:dyDescent="0.25">
      <c r="A81" s="1194" t="s">
        <v>394</v>
      </c>
      <c r="B81" s="1195"/>
      <c r="C81" s="1188"/>
      <c r="D81" s="1189"/>
      <c r="E81" s="1190"/>
      <c r="F81" s="554" t="e">
        <f>VLOOKUP($K$21,'DATOS @ '!$C$27:$V$88,15,FALSE)</f>
        <v>#N/A</v>
      </c>
      <c r="G81" s="555" t="e">
        <f>VLOOKUP($K$22,'DATOS @ '!$C$27:$V$88,15,FALSE)</f>
        <v>#N/A</v>
      </c>
      <c r="H81" s="555" t="e">
        <f>VLOOKUP($K$23,'DATOS @ '!$C$27:$V$88,15,FALSE)</f>
        <v>#N/A</v>
      </c>
      <c r="I81" s="555" t="e">
        <f>VLOOKUP($K$24,'DATOS @ '!$C$27:$V$88,15,FALSE)</f>
        <v>#N/A</v>
      </c>
      <c r="J81" s="555" t="e">
        <f>VLOOKUP($K$25,'DATOS @ '!$C$27:$V$88,15,FALSE)</f>
        <v>#N/A</v>
      </c>
      <c r="K81" s="556" t="s">
        <v>45</v>
      </c>
      <c r="L81" s="816">
        <v>100</v>
      </c>
      <c r="M81" s="821" t="e">
        <f t="shared" si="13"/>
        <v>#N/A</v>
      </c>
    </row>
    <row r="82" spans="1:20" ht="35.1" customHeight="1" thickBot="1" x14ac:dyDescent="0.25">
      <c r="C82" s="1191"/>
      <c r="D82" s="1192"/>
      <c r="E82" s="1193"/>
      <c r="F82" s="812" t="e">
        <f>SQRT(F79^2+F80^2+F81^2)</f>
        <v>#N/A</v>
      </c>
      <c r="G82" s="813" t="e">
        <f t="shared" ref="G82:J82" si="14">SQRT(G79^2+G80^2+G81^2)</f>
        <v>#N/A</v>
      </c>
      <c r="H82" s="813" t="e">
        <f t="shared" si="14"/>
        <v>#N/A</v>
      </c>
      <c r="I82" s="813" t="e">
        <f t="shared" si="14"/>
        <v>#N/A</v>
      </c>
      <c r="J82" s="814" t="e">
        <f t="shared" si="14"/>
        <v>#N/A</v>
      </c>
      <c r="K82" s="815" t="s">
        <v>46</v>
      </c>
      <c r="L82" s="59"/>
      <c r="M82" s="822" t="e">
        <f>+SUM(M73:M76,M79:M81)</f>
        <v>#DIV/0!</v>
      </c>
      <c r="N82" s="231"/>
    </row>
    <row r="83" spans="1:20" ht="35.1" customHeight="1" thickBot="1" x14ac:dyDescent="0.25">
      <c r="C83" s="1"/>
      <c r="D83" s="1"/>
      <c r="F83" s="1163" t="s">
        <v>260</v>
      </c>
      <c r="G83" s="1164"/>
      <c r="H83" s="1164"/>
      <c r="I83" s="1164"/>
      <c r="J83" s="1165"/>
      <c r="K83" s="1"/>
      <c r="L83" s="6"/>
      <c r="O83" s="232">
        <v>0.3</v>
      </c>
      <c r="P83" s="232">
        <v>1.65</v>
      </c>
      <c r="Q83" s="233"/>
    </row>
    <row r="84" spans="1:20" ht="35.1" customHeight="1" thickBot="1" x14ac:dyDescent="0.25">
      <c r="B84" s="1"/>
      <c r="C84" s="156"/>
      <c r="D84" s="157"/>
      <c r="E84" s="158"/>
      <c r="F84" s="239" t="e">
        <f>SQRT((F77)^2+(F82)^2)</f>
        <v>#DIV/0!</v>
      </c>
      <c r="G84" s="240" t="e">
        <f t="shared" ref="G84:J84" si="15">SQRT((G77)^2+(G82)^2)</f>
        <v>#DIV/0!</v>
      </c>
      <c r="H84" s="240" t="e">
        <f>SQRT((H77)^2+(H82)^2)</f>
        <v>#DIV/0!</v>
      </c>
      <c r="I84" s="240" t="e">
        <f t="shared" si="15"/>
        <v>#DIV/0!</v>
      </c>
      <c r="J84" s="757" t="e">
        <f t="shared" si="15"/>
        <v>#DIV/0!</v>
      </c>
      <c r="L84" s="6"/>
      <c r="O84" s="1283" t="s">
        <v>291</v>
      </c>
      <c r="P84" s="1284"/>
      <c r="Q84" s="1285"/>
    </row>
    <row r="85" spans="1:20" s="7" customFormat="1" ht="37.5" customHeight="1" thickBot="1" x14ac:dyDescent="0.25">
      <c r="A85" s="38"/>
      <c r="B85" s="38"/>
      <c r="D85" s="34"/>
      <c r="F85" s="241"/>
      <c r="G85" s="241"/>
      <c r="H85" s="241"/>
      <c r="I85" s="241"/>
      <c r="J85" s="241"/>
      <c r="L85" s="508" t="s">
        <v>286</v>
      </c>
      <c r="M85" s="319" t="e">
        <f>MAX(J73:J76,J79:J81)</f>
        <v>#DIV/0!</v>
      </c>
      <c r="N85" s="327" t="e">
        <f>IF((M86)&lt;=(O83),"165","k=2")</f>
        <v>#DIV/0!</v>
      </c>
      <c r="O85" s="321" t="s">
        <v>287</v>
      </c>
      <c r="P85" s="322" t="s">
        <v>288</v>
      </c>
      <c r="Q85" s="323" t="s">
        <v>438</v>
      </c>
    </row>
    <row r="86" spans="1:20" s="29" customFormat="1" ht="35.1" customHeight="1" thickBot="1" x14ac:dyDescent="0.25">
      <c r="F86" s="1079" t="s">
        <v>26</v>
      </c>
      <c r="G86" s="1080"/>
      <c r="H86" s="1080"/>
      <c r="I86" s="1080"/>
      <c r="J86" s="1081"/>
      <c r="L86" s="327" t="s">
        <v>289</v>
      </c>
      <c r="M86" s="320" t="e">
        <f>SQRT((J73)^2+(J74)^2+J79^2+J80^2+J81^2)/J76</f>
        <v>#DIV/0!</v>
      </c>
      <c r="N86" s="230"/>
      <c r="O86" s="324" t="s">
        <v>287</v>
      </c>
      <c r="P86" s="325" t="s">
        <v>290</v>
      </c>
      <c r="Q86" s="326" t="s">
        <v>439</v>
      </c>
    </row>
    <row r="87" spans="1:20" ht="15.75" thickBot="1" x14ac:dyDescent="0.25">
      <c r="B87" s="1"/>
      <c r="C87" s="25"/>
      <c r="D87" s="25"/>
      <c r="F87" s="1235" t="s">
        <v>51</v>
      </c>
      <c r="G87" s="1236"/>
      <c r="H87" s="1236"/>
      <c r="I87" s="1236"/>
      <c r="J87" s="1237"/>
      <c r="Q87" s="29"/>
      <c r="R87" s="29"/>
      <c r="S87" s="29"/>
      <c r="T87" s="29"/>
    </row>
    <row r="88" spans="1:20" ht="35.1" customHeight="1" x14ac:dyDescent="0.2">
      <c r="A88" s="1087" t="s">
        <v>80</v>
      </c>
      <c r="B88" s="1088"/>
      <c r="C88" s="1089"/>
      <c r="D88" s="1186"/>
      <c r="E88" s="1186"/>
      <c r="F88" s="150">
        <v>100</v>
      </c>
      <c r="G88" s="182">
        <v>100</v>
      </c>
      <c r="H88" s="182">
        <v>100</v>
      </c>
      <c r="I88" s="182">
        <v>100</v>
      </c>
      <c r="J88" s="151">
        <v>100</v>
      </c>
      <c r="Q88" s="29"/>
      <c r="R88" s="29"/>
      <c r="S88" s="29"/>
      <c r="T88" s="29"/>
    </row>
    <row r="89" spans="1:20" ht="35.1" customHeight="1" x14ac:dyDescent="0.2">
      <c r="A89" s="1090" t="s">
        <v>81</v>
      </c>
      <c r="B89" s="1091"/>
      <c r="C89" s="1092"/>
      <c r="D89" s="1187"/>
      <c r="E89" s="1187"/>
      <c r="F89" s="152">
        <f>$K$43-1</f>
        <v>9</v>
      </c>
      <c r="G89" s="39">
        <f t="shared" ref="G89:J89" si="16">$K$43-1</f>
        <v>9</v>
      </c>
      <c r="H89" s="39">
        <f t="shared" si="16"/>
        <v>9</v>
      </c>
      <c r="I89" s="39">
        <f t="shared" si="16"/>
        <v>9</v>
      </c>
      <c r="J89" s="153">
        <f t="shared" si="16"/>
        <v>9</v>
      </c>
      <c r="R89" s="29"/>
      <c r="S89" s="29"/>
      <c r="T89" s="29"/>
    </row>
    <row r="90" spans="1:20" ht="35.1" customHeight="1" thickBot="1" x14ac:dyDescent="0.25">
      <c r="A90" s="1093" t="s">
        <v>82</v>
      </c>
      <c r="B90" s="1094"/>
      <c r="C90" s="1095"/>
      <c r="D90" s="1185"/>
      <c r="E90" s="1185"/>
      <c r="F90" s="152">
        <v>100</v>
      </c>
      <c r="G90" s="39">
        <v>100</v>
      </c>
      <c r="H90" s="39">
        <v>100</v>
      </c>
      <c r="I90" s="39">
        <v>100</v>
      </c>
      <c r="J90" s="153">
        <v>100</v>
      </c>
      <c r="R90" s="29"/>
      <c r="S90" s="29"/>
      <c r="T90" s="29"/>
    </row>
    <row r="91" spans="1:20" ht="50.1" customHeight="1" thickBot="1" x14ac:dyDescent="0.25">
      <c r="B91" s="159"/>
      <c r="C91" s="160"/>
      <c r="D91" s="237"/>
      <c r="E91" s="161"/>
      <c r="F91" s="494" t="e">
        <f>F77^4/(F73^4/100+(F74^4/($K$43-1))+(F75^4/100)+(F76^4/100)+(F79^4/100)+(F80^4/100)+(F81^4/100))</f>
        <v>#DIV/0!</v>
      </c>
      <c r="G91" s="495" t="e">
        <f>G77^4/(G73^4/100+(G74^4/($K$43-1))+(G75^4/100)+(G76^4/100)+(G79^4/100)+(G80^4/100)+(G81^4/100))</f>
        <v>#DIV/0!</v>
      </c>
      <c r="H91" s="495" t="e">
        <f>H77^4/(H73^4/100+(H74^4/($K$43-1))+(H75^4/100)+(H76^4/100)+(H79^4/100)+(H80^4/100)+(H81^4/100))</f>
        <v>#DIV/0!</v>
      </c>
      <c r="I91" s="495" t="e">
        <f>I77^4/(I73^4/100+(I74^4/($K$43-1))+(I75^4/100)+(I76^4/100)+(I79^4/100)+(I80^4/100)+(I81^4/100))</f>
        <v>#DIV/0!</v>
      </c>
      <c r="J91" s="496" t="e">
        <f>J77^4/(J73^4/100+(J74^4/($K$43-1))+(J75^4/100)+(J76^4/100)+(J79^4/100)+(J80^4/100)+(J81^4/100))</f>
        <v>#DIV/0!</v>
      </c>
      <c r="K91" s="1101" t="s">
        <v>79</v>
      </c>
      <c r="L91" s="1103" t="s">
        <v>455</v>
      </c>
      <c r="M91" s="1103" t="s">
        <v>456</v>
      </c>
      <c r="N91" s="1103" t="s">
        <v>433</v>
      </c>
      <c r="O91" s="1103" t="s">
        <v>239</v>
      </c>
      <c r="P91" s="1115" t="s">
        <v>432</v>
      </c>
    </row>
    <row r="92" spans="1:20" ht="35.1" customHeight="1" thickBot="1" x14ac:dyDescent="0.25">
      <c r="B92" s="1"/>
      <c r="C92" s="25"/>
      <c r="D92" s="25"/>
      <c r="E92" s="25"/>
      <c r="F92" s="1084" t="s">
        <v>50</v>
      </c>
      <c r="G92" s="1085"/>
      <c r="H92" s="1085"/>
      <c r="I92" s="1085"/>
      <c r="J92" s="1086"/>
      <c r="K92" s="1102"/>
      <c r="L92" s="1104"/>
      <c r="M92" s="1104"/>
      <c r="N92" s="1104"/>
      <c r="O92" s="1104"/>
      <c r="P92" s="1116"/>
    </row>
    <row r="93" spans="1:20" ht="35.1" customHeight="1" x14ac:dyDescent="0.2">
      <c r="A93" s="1087" t="s">
        <v>83</v>
      </c>
      <c r="B93" s="1088"/>
      <c r="C93" s="1089"/>
      <c r="D93" s="1096"/>
      <c r="E93" s="1096"/>
      <c r="F93" s="150">
        <v>100</v>
      </c>
      <c r="G93" s="182">
        <v>100</v>
      </c>
      <c r="H93" s="182">
        <v>100</v>
      </c>
      <c r="I93" s="182">
        <v>100</v>
      </c>
      <c r="J93" s="609">
        <v>100</v>
      </c>
      <c r="K93" s="612" t="e">
        <f>G21</f>
        <v>#N/A</v>
      </c>
      <c r="L93" s="666" t="e">
        <f>L55</f>
        <v>#DIV/0!</v>
      </c>
      <c r="M93" s="614" t="e">
        <f>K55</f>
        <v>#DIV/0!</v>
      </c>
      <c r="N93" s="613" t="e">
        <f>F84*D103</f>
        <v>#DIV/0!</v>
      </c>
      <c r="O93" s="793" t="e">
        <f>N93/1000</f>
        <v>#DIV/0!</v>
      </c>
      <c r="P93" s="754" t="e">
        <f>N93/(B55*1000)</f>
        <v>#DIV/0!</v>
      </c>
    </row>
    <row r="94" spans="1:20" ht="35.1" customHeight="1" x14ac:dyDescent="0.2">
      <c r="A94" s="1090" t="s">
        <v>84</v>
      </c>
      <c r="B94" s="1091"/>
      <c r="C94" s="1092"/>
      <c r="D94" s="1096"/>
      <c r="E94" s="1096"/>
      <c r="F94" s="152">
        <v>100</v>
      </c>
      <c r="G94" s="39">
        <v>100</v>
      </c>
      <c r="H94" s="39">
        <v>100</v>
      </c>
      <c r="I94" s="39">
        <v>100</v>
      </c>
      <c r="J94" s="610">
        <v>100</v>
      </c>
      <c r="K94" s="718" t="e">
        <f t="shared" ref="K94:K97" si="17">G22</f>
        <v>#N/A</v>
      </c>
      <c r="L94" s="499" t="e">
        <f>L56</f>
        <v>#DIV/0!</v>
      </c>
      <c r="M94" s="615" t="e">
        <f t="shared" ref="M94:M97" si="18">K56</f>
        <v>#DIV/0!</v>
      </c>
      <c r="N94" s="500" t="e">
        <f>G84*D103</f>
        <v>#DIV/0!</v>
      </c>
      <c r="O94" s="498" t="e">
        <f>N94/1000</f>
        <v>#DIV/0!</v>
      </c>
      <c r="P94" s="755" t="e">
        <f>N94/(B56*1000)</f>
        <v>#DIV/0!</v>
      </c>
    </row>
    <row r="95" spans="1:20" ht="35.1" customHeight="1" thickBot="1" x14ac:dyDescent="0.25">
      <c r="A95" s="1093" t="s">
        <v>85</v>
      </c>
      <c r="B95" s="1094"/>
      <c r="C95" s="1095"/>
      <c r="D95" s="1096"/>
      <c r="E95" s="1096"/>
      <c r="F95" s="152">
        <v>100</v>
      </c>
      <c r="G95" s="39">
        <v>100</v>
      </c>
      <c r="H95" s="39">
        <v>100</v>
      </c>
      <c r="I95" s="39">
        <v>100</v>
      </c>
      <c r="J95" s="610">
        <v>100</v>
      </c>
      <c r="K95" s="718" t="e">
        <f t="shared" si="17"/>
        <v>#N/A</v>
      </c>
      <c r="L95" s="499" t="e">
        <f>L57</f>
        <v>#DIV/0!</v>
      </c>
      <c r="M95" s="615" t="e">
        <f t="shared" si="18"/>
        <v>#DIV/0!</v>
      </c>
      <c r="N95" s="500" t="e">
        <f>H84*D103</f>
        <v>#DIV/0!</v>
      </c>
      <c r="O95" s="498" t="e">
        <f>N95/1000</f>
        <v>#DIV/0!</v>
      </c>
      <c r="P95" s="755" t="e">
        <f>N95/(B57*1000)</f>
        <v>#DIV/0!</v>
      </c>
    </row>
    <row r="96" spans="1:20" ht="50.1" customHeight="1" thickBot="1" x14ac:dyDescent="0.25">
      <c r="B96" s="1182"/>
      <c r="C96" s="1182"/>
      <c r="D96" s="1183"/>
      <c r="E96" s="1184"/>
      <c r="F96" s="242" t="e">
        <f>F82^4/((F79^4/100)+(F80^4/100)+(F81^4/100))</f>
        <v>#N/A</v>
      </c>
      <c r="G96" s="243" t="e">
        <f>G82^4/((G79^4/100)+(G80^4/100)+(G81^4/100))</f>
        <v>#N/A</v>
      </c>
      <c r="H96" s="243" t="e">
        <f>H82^4/((H79^4/100)+(H80^4/100)+(H81^4/100))</f>
        <v>#N/A</v>
      </c>
      <c r="I96" s="243" t="e">
        <f>I82^4/((I79^4/100)+(I80^4/100)+(I81^4/100))</f>
        <v>#N/A</v>
      </c>
      <c r="J96" s="611" t="e">
        <f>J82^4/((J79^4/100)+(J80^4/100)+(J81^4/100))</f>
        <v>#N/A</v>
      </c>
      <c r="K96" s="718" t="e">
        <f t="shared" si="17"/>
        <v>#N/A</v>
      </c>
      <c r="L96" s="499" t="e">
        <f>L58</f>
        <v>#DIV/0!</v>
      </c>
      <c r="M96" s="615" t="e">
        <f t="shared" si="18"/>
        <v>#DIV/0!</v>
      </c>
      <c r="N96" s="500" t="e">
        <f>I84*D103</f>
        <v>#DIV/0!</v>
      </c>
      <c r="O96" s="498" t="e">
        <f>N96/1000</f>
        <v>#DIV/0!</v>
      </c>
      <c r="P96" s="755" t="e">
        <f>N96/(B58*1000)</f>
        <v>#DIV/0!</v>
      </c>
    </row>
    <row r="97" spans="2:16" ht="35.1" customHeight="1" thickBot="1" x14ac:dyDescent="0.25">
      <c r="B97" s="1"/>
      <c r="C97" s="1"/>
      <c r="D97" s="1"/>
      <c r="E97" s="1"/>
      <c r="F97" s="1082" t="s">
        <v>27</v>
      </c>
      <c r="G97" s="1083"/>
      <c r="H97" s="1083"/>
      <c r="I97" s="1083"/>
      <c r="J97" s="1083"/>
      <c r="K97" s="719" t="e">
        <f t="shared" si="17"/>
        <v>#N/A</v>
      </c>
      <c r="L97" s="501" t="e">
        <f>L59</f>
        <v>#DIV/0!</v>
      </c>
      <c r="M97" s="616" t="e">
        <f t="shared" si="18"/>
        <v>#DIV/0!</v>
      </c>
      <c r="N97" s="502" t="e">
        <f>J84*D103</f>
        <v>#DIV/0!</v>
      </c>
      <c r="O97" s="503" t="e">
        <f>N97/1000</f>
        <v>#DIV/0!</v>
      </c>
      <c r="P97" s="756" t="e">
        <f>N97/(B59*1000)</f>
        <v>#DIV/0!</v>
      </c>
    </row>
    <row r="98" spans="2:16" ht="50.1" customHeight="1" thickBot="1" x14ac:dyDescent="0.25">
      <c r="B98" s="7"/>
      <c r="C98" s="1246"/>
      <c r="D98" s="1247"/>
      <c r="E98" s="1248"/>
      <c r="F98" s="727" t="e">
        <f>F84^4/((F77^4/F91)+(F82^4/F96))</f>
        <v>#DIV/0!</v>
      </c>
      <c r="G98" s="728" t="e">
        <f>G84^4/((G77^4/G91)+(G82^4/G96))</f>
        <v>#DIV/0!</v>
      </c>
      <c r="H98" s="728" t="e">
        <f>H84^4/((H77^4/H91)+(H82^4/H96))</f>
        <v>#DIV/0!</v>
      </c>
      <c r="I98" s="728" t="e">
        <f>I84^4/((I77^4/I91)+(I82^4/I96))</f>
        <v>#DIV/0!</v>
      </c>
      <c r="J98" s="729" t="e">
        <f>J84^4/((J77^4/J91)+(J82^4/J96))</f>
        <v>#DIV/0!</v>
      </c>
      <c r="K98" s="1"/>
    </row>
    <row r="99" spans="2:16" s="7" customFormat="1" ht="9.9499999999999993" customHeight="1" thickBot="1" x14ac:dyDescent="0.25">
      <c r="B99" s="38"/>
      <c r="C99" s="38"/>
      <c r="E99" s="34"/>
    </row>
    <row r="100" spans="2:16" ht="35.1" customHeight="1" thickBot="1" x14ac:dyDescent="0.25">
      <c r="B100" s="1"/>
      <c r="C100" s="1"/>
      <c r="D100" s="1"/>
      <c r="E100" s="1"/>
      <c r="F100" s="1079" t="s">
        <v>434</v>
      </c>
      <c r="G100" s="1080"/>
      <c r="H100" s="1080"/>
      <c r="I100" s="1080"/>
      <c r="J100" s="1081"/>
      <c r="K100" s="1"/>
    </row>
    <row r="101" spans="2:16" ht="35.1" customHeight="1" thickBot="1" x14ac:dyDescent="0.25">
      <c r="B101" s="159"/>
      <c r="C101" s="210"/>
      <c r="D101" s="160"/>
      <c r="E101" s="158"/>
      <c r="F101" s="724" t="e">
        <f>_xlfn.T.INV.2T(100%-$I$103,F98)</f>
        <v>#DIV/0!</v>
      </c>
      <c r="G101" s="725" t="e">
        <f>_xlfn.T.INV.2T(100%-$I$103,G98)</f>
        <v>#DIV/0!</v>
      </c>
      <c r="H101" s="725" t="e">
        <f>_xlfn.T.INV.2T(100%-$I$103,H98)</f>
        <v>#DIV/0!</v>
      </c>
      <c r="I101" s="725" t="e">
        <f>_xlfn.T.INV.2T(100%-$I$103,I98)</f>
        <v>#DIV/0!</v>
      </c>
      <c r="J101" s="726" t="e">
        <f>_xlfn.T.INV.2T(100%-$I$103,J98)</f>
        <v>#DIV/0!</v>
      </c>
      <c r="K101" s="1"/>
    </row>
    <row r="102" spans="2:16" ht="9.9499999999999993" customHeight="1" thickBot="1" x14ac:dyDescent="0.25">
      <c r="K102" s="1"/>
    </row>
    <row r="103" spans="2:16" ht="35.1" customHeight="1" thickBot="1" x14ac:dyDescent="0.25">
      <c r="C103" s="505" t="s">
        <v>378</v>
      </c>
      <c r="D103" s="504">
        <f>'DATOS @ '!M8</f>
        <v>2</v>
      </c>
      <c r="F103" s="1079" t="s">
        <v>52</v>
      </c>
      <c r="G103" s="1080"/>
      <c r="H103" s="1081"/>
      <c r="I103" s="497">
        <f>'DATOS @ '!N8</f>
        <v>0.95</v>
      </c>
      <c r="L103" s="6"/>
    </row>
    <row r="104" spans="2:16" s="29" customFormat="1" ht="44.25" customHeight="1" thickBot="1" x14ac:dyDescent="0.25"/>
    <row r="105" spans="2:16" s="29" customFormat="1" ht="35.1" customHeight="1" thickBot="1" x14ac:dyDescent="0.25">
      <c r="B105" s="1264" t="s">
        <v>475</v>
      </c>
      <c r="C105" s="1265"/>
      <c r="D105" s="1265"/>
      <c r="E105" s="1265"/>
      <c r="F105" s="1265"/>
      <c r="G105" s="1265"/>
      <c r="H105" s="1265"/>
      <c r="I105" s="1265"/>
      <c r="J105" s="1265"/>
      <c r="K105" s="1265"/>
      <c r="L105" s="1265"/>
      <c r="M105" s="1265"/>
      <c r="N105" s="1265"/>
      <c r="O105" s="1265"/>
      <c r="P105" s="1266"/>
    </row>
    <row r="106" spans="2:16" s="29" customFormat="1" ht="35.1" customHeight="1" thickBot="1" x14ac:dyDescent="0.25">
      <c r="F106" s="509"/>
    </row>
    <row r="107" spans="2:16" s="29" customFormat="1" ht="33" customHeight="1" x14ac:dyDescent="0.2">
      <c r="B107" s="1117" t="s">
        <v>385</v>
      </c>
      <c r="C107" s="1258" t="s">
        <v>386</v>
      </c>
      <c r="D107" s="1258" t="s">
        <v>387</v>
      </c>
      <c r="E107" s="511" t="s">
        <v>31</v>
      </c>
      <c r="F107" s="1258" t="s">
        <v>32</v>
      </c>
      <c r="G107" s="511" t="s">
        <v>96</v>
      </c>
      <c r="H107" s="1258" t="s">
        <v>395</v>
      </c>
      <c r="I107" s="1258" t="s">
        <v>97</v>
      </c>
      <c r="J107" s="1113" t="s">
        <v>398</v>
      </c>
      <c r="K107" s="621" t="s">
        <v>35</v>
      </c>
      <c r="L107" s="1251" t="s">
        <v>401</v>
      </c>
      <c r="M107" s="1253" t="s">
        <v>402</v>
      </c>
    </row>
    <row r="108" spans="2:16" s="29" customFormat="1" ht="35.1" customHeight="1" thickBot="1" x14ac:dyDescent="0.25">
      <c r="B108" s="1118"/>
      <c r="C108" s="1259"/>
      <c r="D108" s="1259"/>
      <c r="E108" s="576"/>
      <c r="F108" s="1259"/>
      <c r="G108" s="577"/>
      <c r="H108" s="1259"/>
      <c r="I108" s="1259"/>
      <c r="J108" s="1114"/>
      <c r="K108" s="622"/>
      <c r="L108" s="1252"/>
      <c r="M108" s="1254"/>
    </row>
    <row r="109" spans="2:16" s="29" customFormat="1" ht="35.1" customHeight="1" x14ac:dyDescent="0.2">
      <c r="B109" s="578" t="e">
        <f>J55</f>
        <v>#DIV/0!</v>
      </c>
      <c r="C109" s="579" t="e">
        <f>L93</f>
        <v>#DIV/0!</v>
      </c>
      <c r="D109" s="579" t="e">
        <f>F84</f>
        <v>#DIV/0!</v>
      </c>
      <c r="E109" s="580" t="e">
        <f>1/D109^2</f>
        <v>#DIV/0!</v>
      </c>
      <c r="F109" s="581" t="e">
        <f>E109*B109*C109</f>
        <v>#DIV/0!</v>
      </c>
      <c r="G109" s="582" t="e">
        <f>E109*B109^2</f>
        <v>#DIV/0!</v>
      </c>
      <c r="H109" s="580" t="e">
        <f>E109*($C$116*B109-C109)^2</f>
        <v>#DIV/0!</v>
      </c>
      <c r="I109" s="623" t="e">
        <f>((($C$117*$C$119)+($C$118*(J55^2))))</f>
        <v>#DIV/0!</v>
      </c>
      <c r="J109" s="624" t="e">
        <f>SQRT(I109)</f>
        <v>#DIV/0!</v>
      </c>
      <c r="K109" s="625" t="e">
        <f>SQRT($C$119+I109)</f>
        <v>#DIV/0!</v>
      </c>
      <c r="L109" s="667" t="e">
        <f>$E$136+$G$136*N128</f>
        <v>#DIV/0!</v>
      </c>
      <c r="M109" s="720" t="e">
        <f>L109/B109</f>
        <v>#DIV/0!</v>
      </c>
    </row>
    <row r="110" spans="2:16" s="29" customFormat="1" ht="35.1" customHeight="1" x14ac:dyDescent="0.2">
      <c r="B110" s="565" t="e">
        <f t="shared" ref="B110:B113" si="19">J56</f>
        <v>#DIV/0!</v>
      </c>
      <c r="C110" s="510" t="e">
        <f>L94</f>
        <v>#DIV/0!</v>
      </c>
      <c r="D110" s="510" t="e">
        <f>G84</f>
        <v>#DIV/0!</v>
      </c>
      <c r="E110" s="558" t="e">
        <f t="shared" ref="E110:E113" si="20">1/D110^2</f>
        <v>#DIV/0!</v>
      </c>
      <c r="F110" s="563" t="e">
        <f t="shared" ref="F110:F113" si="21">E110*B110*C110</f>
        <v>#DIV/0!</v>
      </c>
      <c r="G110" s="564" t="e">
        <f t="shared" ref="G110:G113" si="22">E110*B110^2</f>
        <v>#DIV/0!</v>
      </c>
      <c r="H110" s="558" t="e">
        <f>E110*($C$116*B110-C110)^2</f>
        <v>#DIV/0!</v>
      </c>
      <c r="I110" s="626" t="e">
        <f>$C$117*$C$119+$C$118*J56^2</f>
        <v>#DIV/0!</v>
      </c>
      <c r="J110" s="627" t="e">
        <f t="shared" ref="J110:J113" si="23">SQRT(I110)</f>
        <v>#DIV/0!</v>
      </c>
      <c r="K110" s="628" t="e">
        <f>SQRT($C$119+I110)</f>
        <v>#DIV/0!</v>
      </c>
      <c r="L110" s="668" t="e">
        <f t="shared" ref="L110:L113" si="24">$E$136+$G$136*N129</f>
        <v>#DIV/0!</v>
      </c>
      <c r="M110" s="721" t="e">
        <f t="shared" ref="M110:M113" si="25">L110/B110</f>
        <v>#DIV/0!</v>
      </c>
    </row>
    <row r="111" spans="2:16" s="29" customFormat="1" ht="35.1" customHeight="1" x14ac:dyDescent="0.2">
      <c r="B111" s="565" t="e">
        <f t="shared" si="19"/>
        <v>#DIV/0!</v>
      </c>
      <c r="C111" s="510" t="e">
        <f>L95</f>
        <v>#DIV/0!</v>
      </c>
      <c r="D111" s="510" t="e">
        <f>H84</f>
        <v>#DIV/0!</v>
      </c>
      <c r="E111" s="558" t="e">
        <f t="shared" si="20"/>
        <v>#DIV/0!</v>
      </c>
      <c r="F111" s="563" t="e">
        <f t="shared" si="21"/>
        <v>#DIV/0!</v>
      </c>
      <c r="G111" s="564" t="e">
        <f t="shared" si="22"/>
        <v>#DIV/0!</v>
      </c>
      <c r="H111" s="558" t="e">
        <f>E111*($C$116*B111-C111)^2</f>
        <v>#DIV/0!</v>
      </c>
      <c r="I111" s="626" t="e">
        <f>$C$117*$C$119+$C$118*J57^2</f>
        <v>#DIV/0!</v>
      </c>
      <c r="J111" s="627" t="e">
        <f t="shared" si="23"/>
        <v>#DIV/0!</v>
      </c>
      <c r="K111" s="628" t="e">
        <f>SQRT($C$119+I111)</f>
        <v>#DIV/0!</v>
      </c>
      <c r="L111" s="668" t="e">
        <f t="shared" si="24"/>
        <v>#DIV/0!</v>
      </c>
      <c r="M111" s="721" t="e">
        <f t="shared" si="25"/>
        <v>#DIV/0!</v>
      </c>
    </row>
    <row r="112" spans="2:16" s="29" customFormat="1" ht="35.1" customHeight="1" x14ac:dyDescent="0.2">
      <c r="B112" s="565" t="e">
        <f t="shared" si="19"/>
        <v>#DIV/0!</v>
      </c>
      <c r="C112" s="510" t="e">
        <f>L96</f>
        <v>#DIV/0!</v>
      </c>
      <c r="D112" s="510" t="e">
        <f>I84</f>
        <v>#DIV/0!</v>
      </c>
      <c r="E112" s="558" t="e">
        <f t="shared" si="20"/>
        <v>#DIV/0!</v>
      </c>
      <c r="F112" s="563" t="e">
        <f t="shared" si="21"/>
        <v>#DIV/0!</v>
      </c>
      <c r="G112" s="564" t="e">
        <f t="shared" si="22"/>
        <v>#DIV/0!</v>
      </c>
      <c r="H112" s="558" t="e">
        <f>E112*($C$116*B112-C112)^2</f>
        <v>#DIV/0!</v>
      </c>
      <c r="I112" s="626" t="e">
        <f>$C$117*$C$119+$C$118*J58^2</f>
        <v>#DIV/0!</v>
      </c>
      <c r="J112" s="627" t="e">
        <f t="shared" si="23"/>
        <v>#DIV/0!</v>
      </c>
      <c r="K112" s="628" t="e">
        <f>SQRT($C$119+I112)</f>
        <v>#DIV/0!</v>
      </c>
      <c r="L112" s="668" t="e">
        <f t="shared" si="24"/>
        <v>#DIV/0!</v>
      </c>
      <c r="M112" s="721" t="e">
        <f t="shared" si="25"/>
        <v>#DIV/0!</v>
      </c>
    </row>
    <row r="113" spans="2:16" s="29" customFormat="1" ht="35.1" customHeight="1" thickBot="1" x14ac:dyDescent="0.25">
      <c r="B113" s="583" t="e">
        <f t="shared" si="19"/>
        <v>#DIV/0!</v>
      </c>
      <c r="C113" s="556" t="e">
        <f>L97</f>
        <v>#DIV/0!</v>
      </c>
      <c r="D113" s="556" t="e">
        <f>J84</f>
        <v>#DIV/0!</v>
      </c>
      <c r="E113" s="584" t="e">
        <f t="shared" si="20"/>
        <v>#DIV/0!</v>
      </c>
      <c r="F113" s="585" t="e">
        <f t="shared" si="21"/>
        <v>#DIV/0!</v>
      </c>
      <c r="G113" s="586" t="e">
        <f t="shared" si="22"/>
        <v>#DIV/0!</v>
      </c>
      <c r="H113" s="584" t="e">
        <f>E113*($C$116*B113-C113)^2</f>
        <v>#DIV/0!</v>
      </c>
      <c r="I113" s="629" t="e">
        <f>$C$117*$C$119+$C$118*J59^2</f>
        <v>#DIV/0!</v>
      </c>
      <c r="J113" s="630" t="e">
        <f t="shared" si="23"/>
        <v>#DIV/0!</v>
      </c>
      <c r="K113" s="631" t="e">
        <f>SQRT($C$119+I113)</f>
        <v>#DIV/0!</v>
      </c>
      <c r="L113" s="669" t="e">
        <f t="shared" si="24"/>
        <v>#DIV/0!</v>
      </c>
      <c r="M113" s="722" t="e">
        <f t="shared" si="25"/>
        <v>#DIV/0!</v>
      </c>
    </row>
    <row r="114" spans="2:16" s="29" customFormat="1" ht="35.1" customHeight="1" thickBot="1" x14ac:dyDescent="0.25">
      <c r="E114" s="632" t="s">
        <v>33</v>
      </c>
      <c r="F114" s="633" t="e">
        <f>SUM(F109:F113)</f>
        <v>#DIV/0!</v>
      </c>
      <c r="G114" s="633" t="e">
        <f>SUM(G109:G113)</f>
        <v>#DIV/0!</v>
      </c>
      <c r="H114" s="633" t="e">
        <f t="shared" ref="H114" si="26">SUM(H109:H113)</f>
        <v>#DIV/0!</v>
      </c>
      <c r="I114" s="634" t="e">
        <f>SUM(I109:I113)</f>
        <v>#DIV/0!</v>
      </c>
    </row>
    <row r="115" spans="2:16" s="29" customFormat="1" ht="35.1" customHeight="1" thickBot="1" x14ac:dyDescent="0.25"/>
    <row r="116" spans="2:16" s="6" customFormat="1" ht="27" customHeight="1" x14ac:dyDescent="0.2">
      <c r="B116" s="566" t="s">
        <v>98</v>
      </c>
      <c r="C116" s="572" t="e">
        <f>(F114/G114)</f>
        <v>#DIV/0!</v>
      </c>
      <c r="E116" s="605" t="s">
        <v>405</v>
      </c>
      <c r="F116" s="597">
        <v>1</v>
      </c>
      <c r="M116" s="29"/>
      <c r="N116" s="29"/>
    </row>
    <row r="117" spans="2:16" s="6" customFormat="1" ht="28.5" customHeight="1" thickBot="1" x14ac:dyDescent="0.25">
      <c r="B117" s="567" t="s">
        <v>99</v>
      </c>
      <c r="C117" s="573" t="e">
        <f>C116^2</f>
        <v>#DIV/0!</v>
      </c>
      <c r="E117" s="606" t="s">
        <v>406</v>
      </c>
      <c r="F117" s="598">
        <v>2</v>
      </c>
      <c r="G117" s="40"/>
      <c r="M117" s="29"/>
      <c r="N117" s="29"/>
    </row>
    <row r="118" spans="2:16" ht="35.1" customHeight="1" x14ac:dyDescent="0.2">
      <c r="B118" s="568" t="s">
        <v>396</v>
      </c>
      <c r="C118" s="573" t="e">
        <f>1/G114</f>
        <v>#DIV/0!</v>
      </c>
      <c r="E118" s="599" t="s">
        <v>403</v>
      </c>
      <c r="F118" s="574" t="e">
        <f>H114</f>
        <v>#DIV/0!</v>
      </c>
      <c r="K118" s="1255"/>
      <c r="L118" s="1256"/>
      <c r="M118" s="1257"/>
      <c r="N118" s="29"/>
    </row>
    <row r="119" spans="2:16" ht="35.1" customHeight="1" thickBot="1" x14ac:dyDescent="0.25">
      <c r="B119" s="569" t="s">
        <v>100</v>
      </c>
      <c r="C119" s="723" t="e">
        <f>SUMSQ(F74:F76)</f>
        <v>#DIV/0!</v>
      </c>
      <c r="E119" s="600" t="s">
        <v>38</v>
      </c>
      <c r="F119" s="595">
        <v>2</v>
      </c>
      <c r="K119" s="603" t="e">
        <f>ABS(F118-F120)</f>
        <v>#DIV/0!</v>
      </c>
      <c r="L119" s="604" t="s">
        <v>34</v>
      </c>
      <c r="M119" s="637">
        <f>F119*SQRT(2*F120)</f>
        <v>4.8989794855663558</v>
      </c>
      <c r="N119" s="29"/>
    </row>
    <row r="120" spans="2:16" ht="35.1" customHeight="1" thickBot="1" x14ac:dyDescent="0.25">
      <c r="B120" s="570" t="s">
        <v>397</v>
      </c>
      <c r="C120" s="574" t="e">
        <f>(C39/(G34*SQRT(12)))^2</f>
        <v>#DIV/0!</v>
      </c>
      <c r="E120" s="607" t="s">
        <v>39</v>
      </c>
      <c r="F120" s="596">
        <f>G26</f>
        <v>3</v>
      </c>
      <c r="K120" s="1203" t="e">
        <f>IF(K119&lt;=M119,"APROBADO","NO APROBADO")</f>
        <v>#DIV/0!</v>
      </c>
      <c r="L120" s="1204"/>
      <c r="M120" s="1205"/>
      <c r="N120" s="29"/>
    </row>
    <row r="121" spans="2:16" ht="30.75" customHeight="1" thickBot="1" x14ac:dyDescent="0.25">
      <c r="B121" s="571"/>
      <c r="C121" s="575" t="e">
        <f>F48^2</f>
        <v>#DIV/0!</v>
      </c>
      <c r="E121" s="601" t="s">
        <v>58</v>
      </c>
      <c r="F121" s="493" t="e">
        <f>MAX(F101:J101)</f>
        <v>#DIV/0!</v>
      </c>
      <c r="M121" s="29"/>
      <c r="N121" s="29"/>
    </row>
    <row r="122" spans="2:16" ht="30.75" customHeight="1" thickBot="1" x14ac:dyDescent="0.25"/>
    <row r="123" spans="2:16" ht="35.1" customHeight="1" thickBot="1" x14ac:dyDescent="0.25">
      <c r="B123" s="1107"/>
      <c r="C123" s="1108"/>
      <c r="D123" s="1108"/>
      <c r="E123" s="1108"/>
      <c r="F123" s="1108"/>
      <c r="G123" s="1108"/>
      <c r="H123" s="1108"/>
      <c r="I123" s="1108"/>
      <c r="J123" s="1108"/>
      <c r="K123" s="1108"/>
      <c r="L123" s="1108"/>
      <c r="M123" s="1108"/>
      <c r="N123" s="1108"/>
      <c r="O123" s="1108"/>
      <c r="P123" s="1109"/>
    </row>
    <row r="124" spans="2:16" ht="35.1" customHeight="1" x14ac:dyDescent="0.2">
      <c r="C124" s="559" t="s">
        <v>36</v>
      </c>
      <c r="D124" s="787" t="e">
        <f>SLOPE(O128:O132,N128:N132)</f>
        <v>#DIV/0!</v>
      </c>
      <c r="E124" s="1074" t="s">
        <v>87</v>
      </c>
      <c r="F124" s="1075"/>
      <c r="G124" s="560" t="s">
        <v>65</v>
      </c>
      <c r="H124" s="602">
        <v>5</v>
      </c>
      <c r="I124" s="1"/>
      <c r="K124" s="1"/>
    </row>
    <row r="125" spans="2:16" ht="35.1" customHeight="1" thickBot="1" x14ac:dyDescent="0.25">
      <c r="C125" s="212" t="s">
        <v>37</v>
      </c>
      <c r="D125" s="788" t="e">
        <f>INTERCEPT(K109:K113,G21:G25)</f>
        <v>#DIV/0!</v>
      </c>
      <c r="E125" s="1072" t="s">
        <v>88</v>
      </c>
      <c r="F125" s="1073"/>
      <c r="G125" s="213" t="s">
        <v>66</v>
      </c>
      <c r="H125" s="244" t="e">
        <f>D124*H124+D125</f>
        <v>#DIV/0!</v>
      </c>
    </row>
    <row r="126" spans="2:16" ht="35.1" customHeight="1" thickBot="1" x14ac:dyDescent="0.25">
      <c r="L126" s="6"/>
    </row>
    <row r="127" spans="2:16" ht="35.1" customHeight="1" thickBot="1" x14ac:dyDescent="0.25">
      <c r="N127" s="392" t="s">
        <v>60</v>
      </c>
      <c r="O127" s="826" t="s">
        <v>281</v>
      </c>
    </row>
    <row r="128" spans="2:16" ht="35.1" customHeight="1" x14ac:dyDescent="0.2">
      <c r="N128" s="824" t="e">
        <f>G21</f>
        <v>#N/A</v>
      </c>
      <c r="O128" s="825" t="e">
        <f>K109</f>
        <v>#DIV/0!</v>
      </c>
    </row>
    <row r="129" spans="1:20" ht="35.1" customHeight="1" x14ac:dyDescent="0.2">
      <c r="I129" s="14"/>
      <c r="L129" s="234"/>
      <c r="N129" s="152" t="e">
        <f>G22</f>
        <v>#N/A</v>
      </c>
      <c r="O129" s="153" t="e">
        <f>K110</f>
        <v>#DIV/0!</v>
      </c>
    </row>
    <row r="130" spans="1:20" ht="35.1" customHeight="1" x14ac:dyDescent="0.2">
      <c r="I130" s="14"/>
      <c r="N130" s="152" t="e">
        <f>G23</f>
        <v>#N/A</v>
      </c>
      <c r="O130" s="153" t="e">
        <f>K111</f>
        <v>#DIV/0!</v>
      </c>
    </row>
    <row r="131" spans="1:20" ht="35.1" customHeight="1" x14ac:dyDescent="0.2">
      <c r="I131" s="14"/>
      <c r="N131" s="152" t="e">
        <f>G24</f>
        <v>#N/A</v>
      </c>
      <c r="O131" s="153" t="e">
        <f>K112</f>
        <v>#DIV/0!</v>
      </c>
    </row>
    <row r="132" spans="1:20" ht="35.1" customHeight="1" thickBot="1" x14ac:dyDescent="0.25">
      <c r="A132" s="41"/>
      <c r="I132" s="14"/>
      <c r="N132" s="154" t="e">
        <f>G25</f>
        <v>#N/A</v>
      </c>
      <c r="O132" s="155" t="e">
        <f>K113</f>
        <v>#DIV/0!</v>
      </c>
    </row>
    <row r="133" spans="1:20" ht="35.1" customHeight="1" x14ac:dyDescent="0.2">
      <c r="A133" s="41"/>
      <c r="I133" s="14"/>
      <c r="J133" s="14"/>
      <c r="K133" s="14"/>
      <c r="L133" s="14"/>
    </row>
    <row r="134" spans="1:20" ht="43.5" customHeight="1" thickBot="1" x14ac:dyDescent="0.25">
      <c r="A134" s="41"/>
      <c r="I134" s="42"/>
      <c r="J134" s="42"/>
      <c r="K134" s="42"/>
      <c r="L134" s="42"/>
    </row>
    <row r="135" spans="1:20" s="6" customFormat="1" ht="35.1" customHeight="1" thickBot="1" x14ac:dyDescent="0.25">
      <c r="C135" s="587" t="s">
        <v>101</v>
      </c>
      <c r="D135" s="588"/>
      <c r="E135" s="589" t="e">
        <f>C117*C119</f>
        <v>#DIV/0!</v>
      </c>
      <c r="F135" s="590" t="s">
        <v>61</v>
      </c>
      <c r="G135" s="589" t="e">
        <f>C118+C117*C120</f>
        <v>#DIV/0!</v>
      </c>
      <c r="H135" s="592" t="s">
        <v>102</v>
      </c>
      <c r="L135" s="14"/>
      <c r="M135" s="1"/>
      <c r="N135" s="1"/>
      <c r="O135" s="1"/>
      <c r="P135" s="1"/>
      <c r="Q135" s="1"/>
      <c r="R135" s="1"/>
      <c r="S135" s="1"/>
      <c r="T135" s="1"/>
    </row>
    <row r="136" spans="1:20" s="6" customFormat="1" ht="35.1" customHeight="1" thickBot="1" x14ac:dyDescent="0.25">
      <c r="A136" s="1"/>
      <c r="C136" s="1249" t="s">
        <v>399</v>
      </c>
      <c r="D136" s="1250"/>
      <c r="E136" s="786" t="e">
        <f>D125*D103</f>
        <v>#DIV/0!</v>
      </c>
      <c r="F136" s="591" t="s">
        <v>61</v>
      </c>
      <c r="G136" s="594" t="e">
        <f>D124*D103</f>
        <v>#DIV/0!</v>
      </c>
      <c r="H136" s="593" t="s">
        <v>400</v>
      </c>
      <c r="M136" s="1"/>
      <c r="N136" s="1"/>
      <c r="O136" s="1"/>
      <c r="P136" s="1"/>
      <c r="Q136" s="1"/>
      <c r="R136" s="1"/>
      <c r="S136" s="1"/>
      <c r="T136" s="1"/>
    </row>
    <row r="137" spans="1:20" ht="35.1" customHeight="1" thickBot="1" x14ac:dyDescent="0.25"/>
    <row r="138" spans="1:20" ht="35.1" customHeight="1" thickBot="1" x14ac:dyDescent="0.25">
      <c r="B138" s="1110" t="s">
        <v>63</v>
      </c>
      <c r="C138" s="1111"/>
      <c r="D138" s="1111"/>
      <c r="E138" s="1111"/>
      <c r="F138" s="1111"/>
      <c r="G138" s="1111"/>
      <c r="H138" s="1111"/>
      <c r="I138" s="1111"/>
      <c r="J138" s="1111"/>
      <c r="K138" s="1111"/>
      <c r="L138" s="1111"/>
      <c r="M138" s="1111"/>
      <c r="N138" s="1111"/>
      <c r="O138" s="1111"/>
      <c r="P138" s="1112"/>
    </row>
    <row r="139" spans="1:20" ht="35.1" customHeight="1" thickBot="1" x14ac:dyDescent="0.25">
      <c r="F139" s="639" t="s">
        <v>409</v>
      </c>
      <c r="H139" s="1"/>
      <c r="O139" s="489"/>
    </row>
    <row r="140" spans="1:20" ht="35.1" customHeight="1" x14ac:dyDescent="0.2">
      <c r="B140" s="1070" t="s">
        <v>404</v>
      </c>
      <c r="C140" s="1071"/>
      <c r="D140" s="1071"/>
      <c r="E140" s="214" t="s">
        <v>93</v>
      </c>
      <c r="F140" s="794" t="e">
        <f>C116</f>
        <v>#DIV/0!</v>
      </c>
      <c r="G140" s="247" t="s">
        <v>249</v>
      </c>
      <c r="I140" s="1070" t="s">
        <v>59</v>
      </c>
      <c r="J140" s="1071"/>
      <c r="K140" s="1071"/>
      <c r="L140" s="422" t="s">
        <v>64</v>
      </c>
      <c r="M140" s="182" t="e">
        <f>D125*D103</f>
        <v>#DIV/0!</v>
      </c>
      <c r="N140" s="215" t="s">
        <v>61</v>
      </c>
      <c r="O140" s="791" t="e">
        <f>D124*D103</f>
        <v>#DIV/0!</v>
      </c>
      <c r="P140" s="245" t="s">
        <v>249</v>
      </c>
    </row>
    <row r="141" spans="1:20" ht="35.1" customHeight="1" thickBot="1" x14ac:dyDescent="0.25">
      <c r="B141" s="1208" t="s">
        <v>404</v>
      </c>
      <c r="C141" s="1209"/>
      <c r="D141" s="1209"/>
      <c r="E141" s="251" t="s">
        <v>250</v>
      </c>
      <c r="F141" s="795" t="e">
        <f>F140</f>
        <v>#DIV/0!</v>
      </c>
      <c r="G141" s="248" t="s">
        <v>62</v>
      </c>
      <c r="I141" s="1176" t="s">
        <v>59</v>
      </c>
      <c r="J141" s="1177"/>
      <c r="K141" s="1177"/>
      <c r="L141" s="250" t="s">
        <v>244</v>
      </c>
      <c r="M141" s="789" t="e">
        <f>M140/1000</f>
        <v>#DIV/0!</v>
      </c>
      <c r="N141" s="216" t="s">
        <v>61</v>
      </c>
      <c r="O141" s="790" t="e">
        <f>O140/1000</f>
        <v>#DIV/0!</v>
      </c>
      <c r="P141" s="246" t="s">
        <v>62</v>
      </c>
    </row>
    <row r="142" spans="1:20" ht="35.1" customHeight="1" x14ac:dyDescent="0.2">
      <c r="J142" s="1"/>
    </row>
    <row r="143" spans="1:20" ht="35.1" customHeight="1" x14ac:dyDescent="0.2">
      <c r="F143" s="638"/>
      <c r="J143" s="1"/>
      <c r="K143" s="1"/>
    </row>
    <row r="144" spans="1:20" ht="35.1" customHeight="1" x14ac:dyDescent="0.2">
      <c r="F144" s="418"/>
      <c r="H144" s="43"/>
      <c r="O144" s="234"/>
    </row>
  </sheetData>
  <sheetProtection algorithmName="SHA-512" hashValue="5EYG14RsxtaDg1VnpkIQqGeGcSUJ0kY3TA2fXJxWm6yBxnKEPCB+VyIZ/S45pmvMf1lIxlhbE++6eTYU05vJIQ==" saltValue="budP5tjLbVSlVqSRMIXStQ==" spinCount="100000" sheet="1" objects="1" scenarios="1"/>
  <dataConsolidate>
    <dataRefs count="2">
      <dataRef ref="C5:D7" sheet="DATOS DE LOS PATRONES " r:id="rId1"/>
      <dataRef ref="K5:L7" sheet="DATOS DE LOS PATRONES " r:id="rId2"/>
    </dataRefs>
  </dataConsolidate>
  <mergeCells count="124">
    <mergeCell ref="C136:D136"/>
    <mergeCell ref="L107:L108"/>
    <mergeCell ref="M107:M108"/>
    <mergeCell ref="K118:M118"/>
    <mergeCell ref="C107:C108"/>
    <mergeCell ref="D107:D108"/>
    <mergeCell ref="G11:H11"/>
    <mergeCell ref="B15:C15"/>
    <mergeCell ref="B105:P105"/>
    <mergeCell ref="G15:H15"/>
    <mergeCell ref="I15:J15"/>
    <mergeCell ref="F107:F108"/>
    <mergeCell ref="A73:B73"/>
    <mergeCell ref="A74:B74"/>
    <mergeCell ref="A72:E72"/>
    <mergeCell ref="H107:H108"/>
    <mergeCell ref="I107:I108"/>
    <mergeCell ref="M41:O41"/>
    <mergeCell ref="F100:J100"/>
    <mergeCell ref="M42:O49"/>
    <mergeCell ref="O84:Q84"/>
    <mergeCell ref="D95:E95"/>
    <mergeCell ref="C80:E80"/>
    <mergeCell ref="F72:J72"/>
    <mergeCell ref="F87:J87"/>
    <mergeCell ref="B52:L52"/>
    <mergeCell ref="B61:I61"/>
    <mergeCell ref="N54:O54"/>
    <mergeCell ref="F78:J78"/>
    <mergeCell ref="F69:J69"/>
    <mergeCell ref="N52:O52"/>
    <mergeCell ref="C98:E98"/>
    <mergeCell ref="N91:N92"/>
    <mergeCell ref="O91:O92"/>
    <mergeCell ref="B42:J42"/>
    <mergeCell ref="B12:C12"/>
    <mergeCell ref="G8:J8"/>
    <mergeCell ref="I9:J9"/>
    <mergeCell ref="G9:H9"/>
    <mergeCell ref="B8:E8"/>
    <mergeCell ref="B9:C9"/>
    <mergeCell ref="B10:C10"/>
    <mergeCell ref="B11:C11"/>
    <mergeCell ref="G10:H10"/>
    <mergeCell ref="I10:J10"/>
    <mergeCell ref="I11:J11"/>
    <mergeCell ref="I12:J12"/>
    <mergeCell ref="I13:J13"/>
    <mergeCell ref="B27:K27"/>
    <mergeCell ref="G28:H28"/>
    <mergeCell ref="F29:G29"/>
    <mergeCell ref="K31:L31"/>
    <mergeCell ref="I141:K141"/>
    <mergeCell ref="B13:C13"/>
    <mergeCell ref="G12:H12"/>
    <mergeCell ref="B14:C14"/>
    <mergeCell ref="A89:C89"/>
    <mergeCell ref="A88:C88"/>
    <mergeCell ref="B96:E96"/>
    <mergeCell ref="D90:E90"/>
    <mergeCell ref="D88:E88"/>
    <mergeCell ref="D89:E89"/>
    <mergeCell ref="F83:J83"/>
    <mergeCell ref="C81:E81"/>
    <mergeCell ref="C82:E82"/>
    <mergeCell ref="A81:B81"/>
    <mergeCell ref="A90:C90"/>
    <mergeCell ref="A80:B80"/>
    <mergeCell ref="C79:E79"/>
    <mergeCell ref="A79:B79"/>
    <mergeCell ref="B140:D140"/>
    <mergeCell ref="K120:M120"/>
    <mergeCell ref="B29:C29"/>
    <mergeCell ref="B21:C23"/>
    <mergeCell ref="B64:C64"/>
    <mergeCell ref="B141:D141"/>
    <mergeCell ref="C1:P3"/>
    <mergeCell ref="M91:M92"/>
    <mergeCell ref="G14:H14"/>
    <mergeCell ref="I14:J14"/>
    <mergeCell ref="H19:H20"/>
    <mergeCell ref="I19:I20"/>
    <mergeCell ref="J19:J20"/>
    <mergeCell ref="B41:K41"/>
    <mergeCell ref="B17:J17"/>
    <mergeCell ref="G18:J18"/>
    <mergeCell ref="G19:G20"/>
    <mergeCell ref="K28:K29"/>
    <mergeCell ref="D20:F21"/>
    <mergeCell ref="D18:D19"/>
    <mergeCell ref="F18:F19"/>
    <mergeCell ref="D23:F23"/>
    <mergeCell ref="C24:D24"/>
    <mergeCell ref="B18:C20"/>
    <mergeCell ref="B33:G33"/>
    <mergeCell ref="B31:I31"/>
    <mergeCell ref="G13:H13"/>
    <mergeCell ref="J5:J6"/>
    <mergeCell ref="A1:B3"/>
    <mergeCell ref="B53:E53"/>
    <mergeCell ref="I140:K140"/>
    <mergeCell ref="E125:F125"/>
    <mergeCell ref="E124:F124"/>
    <mergeCell ref="G53:L53"/>
    <mergeCell ref="F86:J86"/>
    <mergeCell ref="F103:H103"/>
    <mergeCell ref="F97:J97"/>
    <mergeCell ref="F92:J92"/>
    <mergeCell ref="A93:C93"/>
    <mergeCell ref="A94:C94"/>
    <mergeCell ref="A95:C95"/>
    <mergeCell ref="D93:E93"/>
    <mergeCell ref="D94:E94"/>
    <mergeCell ref="A76:B76"/>
    <mergeCell ref="A75:B75"/>
    <mergeCell ref="K91:K92"/>
    <mergeCell ref="L91:L92"/>
    <mergeCell ref="B65:C65"/>
    <mergeCell ref="B123:P123"/>
    <mergeCell ref="B138:P138"/>
    <mergeCell ref="J107:J108"/>
    <mergeCell ref="P91:P92"/>
    <mergeCell ref="B107:B108"/>
    <mergeCell ref="A67:L67"/>
  </mergeCells>
  <conditionalFormatting sqref="K120">
    <cfRule type="cellIs" dxfId="0" priority="2" operator="greaterThan">
      <formula>$K$119</formula>
    </cfRule>
  </conditionalFormatting>
  <printOptions horizontalCentered="1"/>
  <pageMargins left="0.23622047244094491" right="0.23622047244094491" top="0.74803149606299213" bottom="0.74803149606299213" header="0.31496062992125984" footer="0.31496062992125984"/>
  <pageSetup scale="35" orientation="portrait" r:id="rId3"/>
  <headerFooter>
    <oddFooter>&amp;RRT03-F12 Vr.10 (2020-03-13)
Página &amp;P de 3</oddFooter>
  </headerFooter>
  <rowBreaks count="2" manualBreakCount="2">
    <brk id="50" max="16383" man="1"/>
    <brk id="104" max="16" man="1"/>
  </rowBreaks>
  <drawing r:id="rId4"/>
  <legacyDrawing r:id="rId5"/>
  <extLst>
    <ext xmlns:x14="http://schemas.microsoft.com/office/spreadsheetml/2009/9/main" uri="{CCE6A557-97BC-4b89-ADB6-D9C93CAAB3DF}">
      <x14:dataValidations xmlns:xm="http://schemas.microsoft.com/office/excel/2006/main" count="8">
        <x14:dataValidation type="list" allowBlank="1" showInputMessage="1" showErrorMessage="1">
          <x14:formula1>
            <xm:f>'DATOS @ '!$C$27:$C$88</xm:f>
          </x14:formula1>
          <xm:sqref>E24 K21:K25</xm:sqref>
        </x14:dataValidation>
        <x14:dataValidation type="list" allowBlank="1" showInputMessage="1" showErrorMessage="1">
          <x14:formula1>
            <xm:f>'DATOS @ '!$C$7:$C$9</xm:f>
          </x14:formula1>
          <xm:sqref>J5:J6</xm:sqref>
        </x14:dataValidation>
        <x14:dataValidation type="list" allowBlank="1" showInputMessage="1" showErrorMessage="1">
          <x14:formula1>
            <xm:f>'DATOS @ '!$C$16:$C$22</xm:f>
          </x14:formula1>
          <xm:sqref>F8</xm:sqref>
        </x14:dataValidation>
        <x14:dataValidation type="list" allowBlank="1" showInputMessage="1" showErrorMessage="1">
          <x14:formula1>
            <xm:f>'DATOS @ '!$B$27:$B$88</xm:f>
          </x14:formula1>
          <xm:sqref>K8</xm:sqref>
        </x14:dataValidation>
        <x14:dataValidation type="list" allowBlank="1" showInputMessage="1" showErrorMessage="1">
          <x14:formula1>
            <xm:f>'DATOS @ '!$K$27:$K$45</xm:f>
          </x14:formula1>
          <xm:sqref>E19</xm:sqref>
        </x14:dataValidation>
        <x14:dataValidation type="list" allowBlank="1" showInputMessage="1" showErrorMessage="1">
          <x14:formula1>
            <xm:f>'DATOS @ '!$L$27:$L$52</xm:f>
          </x14:formula1>
          <xm:sqref>D22:F22</xm:sqref>
        </x14:dataValidation>
        <x14:dataValidation type="list" allowBlank="1" showInputMessage="1" showErrorMessage="1">
          <x14:formula1>
            <xm:f>'DATOS @ '!$G$160:$G$165</xm:f>
          </x14:formula1>
          <xm:sqref>K28:K29</xm:sqref>
        </x14:dataValidation>
        <x14:dataValidation type="list" allowBlank="1" showInputMessage="1" showErrorMessage="1">
          <x14:formula1>
            <xm:f>'DATOS @ '!$A$156:$A$159</xm:f>
          </x14:formula1>
          <xm:sqref>N52:O52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86"/>
  <sheetViews>
    <sheetView showGridLines="0" showRuler="0" showWhiteSpace="0" view="pageBreakPreview" zoomScale="85" zoomScaleNormal="110" zoomScaleSheetLayoutView="85" zoomScalePageLayoutView="85" workbookViewId="0">
      <selection activeCell="E184" sqref="E184"/>
    </sheetView>
  </sheetViews>
  <sheetFormatPr baseColWidth="10" defaultRowHeight="15" customHeight="1" x14ac:dyDescent="0.2"/>
  <cols>
    <col min="1" max="1" width="20.140625" style="61" customWidth="1"/>
    <col min="2" max="5" width="17.7109375" style="61" customWidth="1"/>
    <col min="6" max="6" width="21.28515625" style="61" customWidth="1"/>
    <col min="7" max="13" width="11.42578125" style="61"/>
    <col min="14" max="14" width="7.140625" style="61" customWidth="1"/>
    <col min="15" max="17" width="11.42578125" style="61" hidden="1" customWidth="1"/>
    <col min="18" max="16384" width="11.42578125" style="61"/>
  </cols>
  <sheetData>
    <row r="1" spans="1:6" ht="120" customHeight="1" x14ac:dyDescent="0.2">
      <c r="A1" s="1317"/>
      <c r="B1" s="1317"/>
      <c r="C1" s="1317"/>
      <c r="D1" s="1317"/>
      <c r="E1" s="1317"/>
      <c r="F1" s="1317"/>
    </row>
    <row r="2" spans="1:6" ht="18" customHeight="1" x14ac:dyDescent="0.2">
      <c r="A2" s="847"/>
      <c r="B2" s="847"/>
    </row>
    <row r="3" spans="1:6" ht="18" customHeight="1" x14ac:dyDescent="0.2">
      <c r="A3" s="847"/>
      <c r="B3" s="847"/>
      <c r="D3" s="1312" t="s">
        <v>269</v>
      </c>
      <c r="E3" s="1312"/>
      <c r="F3" s="431" t="e">
        <f>'RT03-F12 @'!I6</f>
        <v>#N/A</v>
      </c>
    </row>
    <row r="4" spans="1:6" ht="20.100000000000001" customHeight="1" x14ac:dyDescent="0.2">
      <c r="A4" s="1314" t="s">
        <v>67</v>
      </c>
      <c r="B4" s="1314"/>
      <c r="C4" s="1314"/>
    </row>
    <row r="5" spans="1:6" ht="15" customHeight="1" x14ac:dyDescent="0.2">
      <c r="A5" s="432"/>
      <c r="B5" s="845"/>
      <c r="C5" s="845"/>
      <c r="D5" s="845"/>
      <c r="E5" s="845"/>
      <c r="F5" s="845"/>
    </row>
    <row r="6" spans="1:6" ht="33" customHeight="1" x14ac:dyDescent="0.2">
      <c r="A6" s="1354" t="s">
        <v>258</v>
      </c>
      <c r="B6" s="1354"/>
      <c r="C6" s="1352" t="e">
        <f>'RT03-F12 @'!G6</f>
        <v>#N/A</v>
      </c>
      <c r="D6" s="1353"/>
      <c r="E6" s="1353"/>
      <c r="F6" s="1353"/>
    </row>
    <row r="7" spans="1:6" ht="23.1" customHeight="1" x14ac:dyDescent="0.2">
      <c r="A7" s="1354" t="s">
        <v>68</v>
      </c>
      <c r="B7" s="1354"/>
      <c r="C7" s="1352" t="e">
        <f>'RT03-F12 @'!H6</f>
        <v>#N/A</v>
      </c>
      <c r="D7" s="1352"/>
      <c r="E7" s="882"/>
      <c r="F7" s="882"/>
    </row>
    <row r="8" spans="1:6" ht="23.1" customHeight="1" x14ac:dyDescent="0.2">
      <c r="A8" s="1354" t="s">
        <v>69</v>
      </c>
      <c r="B8" s="1354"/>
      <c r="C8" s="1352" t="e">
        <f>'RT03-F12 @'!B6</f>
        <v>#N/A</v>
      </c>
      <c r="D8" s="1353"/>
      <c r="E8" s="883"/>
      <c r="F8" s="883"/>
    </row>
    <row r="9" spans="1:6" ht="15" customHeight="1" x14ac:dyDescent="0.2">
      <c r="A9" s="835"/>
      <c r="B9" s="835"/>
      <c r="C9" s="837"/>
      <c r="D9" s="835"/>
      <c r="E9" s="433"/>
      <c r="F9" s="433"/>
    </row>
    <row r="10" spans="1:6" ht="23.1" customHeight="1" x14ac:dyDescent="0.2">
      <c r="A10" s="1354" t="s">
        <v>70</v>
      </c>
      <c r="B10" s="1354"/>
      <c r="C10" s="434" t="e">
        <f>'RT03-F12 @'!C6</f>
        <v>#N/A</v>
      </c>
      <c r="D10" s="1356" t="s">
        <v>72</v>
      </c>
      <c r="E10" s="1356"/>
      <c r="F10" s="434" t="e">
        <f>'RT03-F12 @'!F6</f>
        <v>#N/A</v>
      </c>
    </row>
    <row r="11" spans="1:6" ht="15" customHeight="1" x14ac:dyDescent="0.2">
      <c r="A11" s="835"/>
      <c r="B11" s="835"/>
      <c r="C11" s="434"/>
      <c r="D11" s="841"/>
      <c r="E11" s="841"/>
      <c r="F11" s="434"/>
    </row>
    <row r="12" spans="1:6" ht="20.100000000000001" customHeight="1" x14ac:dyDescent="0.2">
      <c r="A12" s="1314" t="s">
        <v>292</v>
      </c>
      <c r="B12" s="1314"/>
      <c r="C12" s="1314"/>
      <c r="D12" s="1314"/>
      <c r="E12" s="1314"/>
      <c r="F12" s="1314"/>
    </row>
    <row r="13" spans="1:6" ht="12" customHeight="1" x14ac:dyDescent="0.2">
      <c r="A13" s="835"/>
      <c r="B13" s="835"/>
      <c r="C13" s="835"/>
      <c r="D13" s="835"/>
      <c r="E13" s="433"/>
      <c r="F13" s="433"/>
    </row>
    <row r="14" spans="1:6" ht="23.1" customHeight="1" x14ac:dyDescent="0.2">
      <c r="A14" s="435" t="s">
        <v>311</v>
      </c>
      <c r="B14" s="435"/>
      <c r="C14" s="1358"/>
      <c r="D14" s="1358"/>
      <c r="E14" s="433"/>
      <c r="F14" s="433"/>
    </row>
    <row r="15" spans="1:6" ht="23.1" customHeight="1" x14ac:dyDescent="0.2">
      <c r="A15" s="435" t="s">
        <v>312</v>
      </c>
      <c r="B15" s="435"/>
      <c r="C15" s="1354" t="e">
        <f>'RT03-F12 @'!D9</f>
        <v>#N/A</v>
      </c>
      <c r="D15" s="1354"/>
      <c r="E15" s="433"/>
      <c r="F15" s="433"/>
    </row>
    <row r="16" spans="1:6" ht="23.1" customHeight="1" x14ac:dyDescent="0.2">
      <c r="A16" s="1354" t="s">
        <v>476</v>
      </c>
      <c r="B16" s="1354"/>
      <c r="C16" s="1354" t="e">
        <f>'RT03-F12 @'!D11</f>
        <v>#N/A</v>
      </c>
      <c r="D16" s="1354"/>
      <c r="E16" s="1354"/>
      <c r="F16" s="1354"/>
    </row>
    <row r="17" spans="1:6" ht="23.1" customHeight="1" x14ac:dyDescent="0.2">
      <c r="A17" s="435" t="s">
        <v>313</v>
      </c>
      <c r="B17" s="435"/>
      <c r="C17" s="1354" t="e">
        <f>'RT03-F12 @'!D10</f>
        <v>#N/A</v>
      </c>
      <c r="D17" s="1354"/>
      <c r="E17" s="433"/>
      <c r="F17" s="433"/>
    </row>
    <row r="18" spans="1:6" ht="23.1" customHeight="1" x14ac:dyDescent="0.2">
      <c r="A18" s="1354" t="s">
        <v>314</v>
      </c>
      <c r="B18" s="1354"/>
      <c r="C18" s="436" t="e">
        <f>'RT03-F12 @'!D12</f>
        <v>#N/A</v>
      </c>
      <c r="D18" s="835"/>
      <c r="E18" s="437"/>
      <c r="F18" s="835"/>
    </row>
    <row r="19" spans="1:6" ht="23.1" customHeight="1" x14ac:dyDescent="0.2">
      <c r="A19" s="1355" t="s">
        <v>315</v>
      </c>
      <c r="B19" s="1355"/>
      <c r="C19" s="438" t="e">
        <f>'RT03-F12 @'!D13</f>
        <v>#N/A</v>
      </c>
      <c r="D19" s="838"/>
      <c r="E19" s="838"/>
      <c r="F19" s="838"/>
    </row>
    <row r="20" spans="1:6" ht="23.1" customHeight="1" x14ac:dyDescent="0.2">
      <c r="A20" s="1355" t="s">
        <v>316</v>
      </c>
      <c r="B20" s="1355"/>
      <c r="C20" s="439" t="e">
        <f>'RT03-F12 @'!D14</f>
        <v>#N/A</v>
      </c>
      <c r="D20" s="838"/>
      <c r="E20" s="838"/>
      <c r="F20" s="838"/>
    </row>
    <row r="21" spans="1:6" ht="23.1" customHeight="1" x14ac:dyDescent="0.2">
      <c r="A21" s="1355" t="s">
        <v>317</v>
      </c>
      <c r="B21" s="1355"/>
      <c r="C21" s="438" t="e">
        <f>'RT03-F12 @'!D15</f>
        <v>#N/A</v>
      </c>
      <c r="D21" s="838"/>
      <c r="E21" s="838"/>
      <c r="F21" s="838"/>
    </row>
    <row r="22" spans="1:6" ht="12" customHeight="1" x14ac:dyDescent="0.2"/>
    <row r="23" spans="1:6" ht="20.100000000000001" customHeight="1" x14ac:dyDescent="0.2">
      <c r="A23" s="1314" t="s">
        <v>293</v>
      </c>
      <c r="B23" s="1314"/>
      <c r="C23" s="1314"/>
      <c r="D23" s="1314"/>
      <c r="E23" s="1314"/>
      <c r="F23" s="1314"/>
    </row>
    <row r="24" spans="1:6" ht="12" customHeight="1" x14ac:dyDescent="0.2">
      <c r="A24" s="836"/>
      <c r="B24" s="836"/>
      <c r="C24" s="836"/>
      <c r="D24" s="836"/>
      <c r="E24" s="836"/>
      <c r="F24" s="836"/>
    </row>
    <row r="25" spans="1:6" ht="23.1" customHeight="1" x14ac:dyDescent="0.2">
      <c r="A25" s="1305" t="e">
        <f>'RT03-F12 @'!E6</f>
        <v>#N/A</v>
      </c>
      <c r="B25" s="1305"/>
      <c r="C25" s="1305"/>
      <c r="D25" s="1305"/>
      <c r="E25" s="1305"/>
      <c r="F25" s="1305"/>
    </row>
    <row r="26" spans="1:6" ht="12" customHeight="1" x14ac:dyDescent="0.2">
      <c r="A26" s="440"/>
      <c r="B26" s="845"/>
      <c r="C26" s="440"/>
      <c r="D26" s="845"/>
      <c r="E26" s="441"/>
      <c r="F26" s="441"/>
    </row>
    <row r="27" spans="1:6" ht="23.1" customHeight="1" x14ac:dyDescent="0.2">
      <c r="A27" s="1314" t="s">
        <v>294</v>
      </c>
      <c r="B27" s="1314"/>
      <c r="C27" s="1359" t="e">
        <f>'RT03-F12 @'!D6</f>
        <v>#N/A</v>
      </c>
      <c r="D27" s="1359"/>
      <c r="E27" s="1359"/>
      <c r="F27" s="441"/>
    </row>
    <row r="28" spans="1:6" ht="12" customHeight="1" x14ac:dyDescent="0.2">
      <c r="D28" s="442"/>
      <c r="E28" s="845"/>
      <c r="F28" s="845"/>
    </row>
    <row r="29" spans="1:6" ht="20.100000000000001" customHeight="1" x14ac:dyDescent="0.2">
      <c r="A29" s="1338" t="s">
        <v>295</v>
      </c>
      <c r="B29" s="1338"/>
      <c r="C29" s="1338"/>
      <c r="D29" s="1338"/>
      <c r="E29" s="1338"/>
      <c r="F29" s="1338"/>
    </row>
    <row r="30" spans="1:6" ht="15" customHeight="1" x14ac:dyDescent="0.2">
      <c r="A30" s="443"/>
      <c r="B30" s="443"/>
      <c r="C30" s="443"/>
      <c r="D30" s="442"/>
      <c r="E30" s="845"/>
      <c r="F30" s="845"/>
    </row>
    <row r="31" spans="1:6" ht="12" customHeight="1" x14ac:dyDescent="0.2">
      <c r="A31" s="1350" t="s">
        <v>335</v>
      </c>
      <c r="B31" s="1350"/>
      <c r="C31" s="1350"/>
      <c r="D31" s="1350"/>
      <c r="E31" s="1350"/>
      <c r="F31" s="1350"/>
    </row>
    <row r="32" spans="1:6" ht="25.5" customHeight="1" x14ac:dyDescent="0.2">
      <c r="A32" s="1350"/>
      <c r="B32" s="1350"/>
      <c r="C32" s="1350"/>
      <c r="D32" s="1350"/>
      <c r="E32" s="1350"/>
      <c r="F32" s="1350"/>
    </row>
    <row r="33" spans="1:7" ht="15" customHeight="1" x14ac:dyDescent="0.2">
      <c r="A33" s="444"/>
      <c r="B33" s="444"/>
      <c r="C33" s="444"/>
      <c r="D33" s="444"/>
      <c r="E33" s="444"/>
      <c r="F33" s="444"/>
    </row>
    <row r="34" spans="1:7" ht="20.100000000000001" customHeight="1" x14ac:dyDescent="0.2">
      <c r="A34" s="1314" t="s">
        <v>407</v>
      </c>
      <c r="B34" s="1314"/>
      <c r="C34" s="1314"/>
      <c r="D34" s="1314"/>
      <c r="E34" s="1314"/>
      <c r="F34" s="1314"/>
    </row>
    <row r="35" spans="1:7" ht="30" customHeight="1" thickBot="1" x14ac:dyDescent="0.25">
      <c r="A35" s="836"/>
      <c r="B35" s="836"/>
      <c r="C35" s="836"/>
      <c r="D35" s="836"/>
      <c r="F35" s="747"/>
    </row>
    <row r="36" spans="1:7" ht="30" customHeight="1" thickBot="1" x14ac:dyDescent="0.25">
      <c r="C36" s="849" t="s">
        <v>5</v>
      </c>
      <c r="D36" s="849" t="s">
        <v>408</v>
      </c>
      <c r="E36" s="850" t="s">
        <v>4</v>
      </c>
      <c r="F36" s="836"/>
    </row>
    <row r="37" spans="1:7" ht="30" customHeight="1" thickBot="1" x14ac:dyDescent="0.25">
      <c r="A37" s="1294" t="s">
        <v>430</v>
      </c>
      <c r="B37" s="1295"/>
      <c r="C37" s="740" t="e">
        <f>'RT03-F12 @'!E64</f>
        <v>#N/A</v>
      </c>
      <c r="D37" s="738" t="e">
        <f>'RT03-F12 @'!G64</f>
        <v>#N/A</v>
      </c>
      <c r="E37" s="739" t="e">
        <f>'RT03-F12 @'!I64</f>
        <v>#N/A</v>
      </c>
      <c r="F37" s="836"/>
    </row>
    <row r="38" spans="1:7" ht="30" customHeight="1" thickBot="1" x14ac:dyDescent="0.25">
      <c r="A38" s="1294" t="s">
        <v>431</v>
      </c>
      <c r="B38" s="1295"/>
      <c r="C38" s="741" t="e">
        <f>'RT03-F12 @'!E65</f>
        <v>#N/A</v>
      </c>
      <c r="D38" s="742" t="e">
        <f>'RT03-F12 @'!G65</f>
        <v>#N/A</v>
      </c>
      <c r="E38" s="742" t="e">
        <f>'RT03-F12 @'!I65</f>
        <v>#N/A</v>
      </c>
      <c r="F38" s="836"/>
    </row>
    <row r="39" spans="1:7" ht="27.75" customHeight="1" x14ac:dyDescent="0.2">
      <c r="A39" s="1339" t="s">
        <v>461</v>
      </c>
      <c r="B39" s="1339"/>
      <c r="C39" s="1339"/>
      <c r="D39" s="1339"/>
      <c r="E39" s="1339"/>
      <c r="F39" s="1339"/>
    </row>
    <row r="41" spans="1:7" ht="120" customHeight="1" x14ac:dyDescent="0.2">
      <c r="A41" s="1296"/>
      <c r="B41" s="1296"/>
      <c r="C41" s="1296"/>
      <c r="D41" s="1296"/>
      <c r="E41" s="1296"/>
      <c r="F41" s="1296"/>
      <c r="G41" s="775"/>
    </row>
    <row r="42" spans="1:7" ht="18" customHeight="1" x14ac:dyDescent="0.2">
      <c r="A42" s="843"/>
      <c r="B42" s="843"/>
      <c r="C42" s="843"/>
    </row>
    <row r="43" spans="1:7" ht="18" customHeight="1" x14ac:dyDescent="0.2">
      <c r="A43" s="843"/>
      <c r="B43" s="843"/>
      <c r="C43" s="843"/>
      <c r="D43" s="1312" t="s">
        <v>269</v>
      </c>
      <c r="E43" s="1312"/>
      <c r="F43" s="431" t="e">
        <f>F3</f>
        <v>#N/A</v>
      </c>
    </row>
    <row r="44" spans="1:7" ht="20.100000000000001" customHeight="1" x14ac:dyDescent="0.2">
      <c r="A44" s="1318" t="s">
        <v>306</v>
      </c>
      <c r="B44" s="1318"/>
      <c r="C44" s="1318"/>
      <c r="D44" s="1318"/>
      <c r="E44" s="1318"/>
      <c r="F44" s="1318"/>
    </row>
    <row r="45" spans="1:7" ht="12" customHeight="1" x14ac:dyDescent="0.2">
      <c r="A45" s="839"/>
      <c r="B45" s="839"/>
      <c r="C45" s="839"/>
      <c r="D45" s="839"/>
      <c r="E45" s="839"/>
      <c r="F45" s="839"/>
    </row>
    <row r="46" spans="1:7" ht="60" customHeight="1" x14ac:dyDescent="0.2">
      <c r="A46" s="1351" t="s">
        <v>296</v>
      </c>
      <c r="B46" s="1351"/>
      <c r="C46" s="1351"/>
      <c r="D46" s="1351"/>
      <c r="E46" s="1351"/>
      <c r="F46" s="1351"/>
    </row>
    <row r="47" spans="1:7" ht="12" customHeight="1" thickBot="1" x14ac:dyDescent="0.25">
      <c r="A47" s="445"/>
      <c r="B47" s="445"/>
      <c r="C47" s="445"/>
      <c r="D47" s="445"/>
      <c r="E47" s="445"/>
      <c r="F47" s="445"/>
    </row>
    <row r="48" spans="1:7" ht="27.95" customHeight="1" thickBot="1" x14ac:dyDescent="0.25">
      <c r="A48" s="1340" t="s">
        <v>308</v>
      </c>
      <c r="B48" s="1341"/>
      <c r="C48" s="1344" t="e">
        <f>'RT03-F12 @'!I11</f>
        <v>#N/A</v>
      </c>
      <c r="D48" s="1345"/>
      <c r="E48" s="843"/>
      <c r="F48" s="843"/>
    </row>
    <row r="49" spans="1:6" ht="27.95" customHeight="1" thickBot="1" x14ac:dyDescent="0.25">
      <c r="A49" s="1321" t="s">
        <v>307</v>
      </c>
      <c r="B49" s="1322"/>
      <c r="C49" s="1319"/>
      <c r="D49" s="1320"/>
      <c r="E49" s="845"/>
      <c r="F49" s="845"/>
    </row>
    <row r="50" spans="1:6" ht="27.95" customHeight="1" thickBot="1" x14ac:dyDescent="0.25">
      <c r="A50" s="1321" t="s">
        <v>310</v>
      </c>
      <c r="B50" s="1322"/>
      <c r="C50" s="1346" t="e">
        <f>'RT03-F12 @'!I12</f>
        <v>#N/A</v>
      </c>
      <c r="D50" s="1347"/>
      <c r="E50" s="845"/>
      <c r="F50" s="845"/>
    </row>
    <row r="51" spans="1:6" ht="27.95" customHeight="1" thickBot="1" x14ac:dyDescent="0.25">
      <c r="A51" s="1342" t="s">
        <v>188</v>
      </c>
      <c r="B51" s="1343"/>
      <c r="C51" s="1348" t="e">
        <f>'RT03-F12 @'!I13</f>
        <v>#N/A</v>
      </c>
      <c r="D51" s="1349"/>
      <c r="E51" s="845"/>
      <c r="F51" s="845"/>
    </row>
    <row r="52" spans="1:6" ht="27.95" customHeight="1" thickBot="1" x14ac:dyDescent="0.25">
      <c r="A52" s="608" t="s">
        <v>252</v>
      </c>
      <c r="B52" s="608"/>
      <c r="C52" s="1289" t="e">
        <f>'RT03-F12 @'!I15</f>
        <v>#N/A</v>
      </c>
      <c r="D52" s="1290"/>
      <c r="E52" s="845"/>
      <c r="F52" s="845"/>
    </row>
    <row r="53" spans="1:6" ht="30" customHeight="1" thickBot="1" x14ac:dyDescent="0.25">
      <c r="A53" s="1321" t="s">
        <v>309</v>
      </c>
      <c r="B53" s="1322"/>
      <c r="C53" s="1319"/>
      <c r="D53" s="1320"/>
      <c r="E53" s="845"/>
      <c r="F53" s="845"/>
    </row>
    <row r="54" spans="1:6" ht="30" customHeight="1" x14ac:dyDescent="0.2">
      <c r="A54" s="836"/>
      <c r="B54" s="836"/>
      <c r="C54" s="835"/>
      <c r="D54" s="835"/>
      <c r="E54" s="845"/>
      <c r="F54" s="845"/>
    </row>
    <row r="55" spans="1:6" ht="20.100000000000001" customHeight="1" x14ac:dyDescent="0.2">
      <c r="A55" s="1318" t="s">
        <v>297</v>
      </c>
      <c r="B55" s="1318"/>
      <c r="C55" s="1318"/>
      <c r="D55" s="1318"/>
      <c r="E55" s="1318"/>
      <c r="F55" s="1318"/>
    </row>
    <row r="56" spans="1:6" ht="12" customHeight="1" x14ac:dyDescent="0.2">
      <c r="A56" s="843"/>
      <c r="B56" s="843"/>
      <c r="C56" s="843"/>
      <c r="D56" s="843"/>
      <c r="E56" s="843"/>
      <c r="F56" s="843"/>
    </row>
    <row r="57" spans="1:6" ht="20.100000000000001" customHeight="1" x14ac:dyDescent="0.2">
      <c r="A57" s="1307" t="s">
        <v>74</v>
      </c>
      <c r="B57" s="1307"/>
      <c r="C57" s="1307"/>
      <c r="D57" s="843"/>
      <c r="E57" s="619"/>
      <c r="F57" s="843"/>
    </row>
    <row r="58" spans="1:6" ht="12" customHeight="1" thickBot="1" x14ac:dyDescent="0.25">
      <c r="A58" s="843"/>
      <c r="B58" s="843"/>
      <c r="C58" s="843"/>
      <c r="D58" s="845"/>
      <c r="E58" s="845"/>
      <c r="F58" s="845"/>
    </row>
    <row r="59" spans="1:6" ht="27.95" customHeight="1" thickBot="1" x14ac:dyDescent="0.25">
      <c r="A59" s="1291" t="s">
        <v>264</v>
      </c>
      <c r="B59" s="1292"/>
      <c r="C59" s="1293"/>
      <c r="D59" s="843"/>
      <c r="E59" s="843"/>
      <c r="F59" s="843"/>
    </row>
    <row r="60" spans="1:6" ht="27.95" customHeight="1" thickBot="1" x14ac:dyDescent="0.25">
      <c r="A60" s="446" t="str">
        <f>'RT03-F12 @'!C34</f>
        <v>Carga</v>
      </c>
      <c r="B60" s="447">
        <f>'RT03-F12 @'!E34</f>
        <v>0</v>
      </c>
      <c r="C60" s="448" t="str">
        <f>'RT03-F12 @'!D34</f>
        <v>(g)</v>
      </c>
      <c r="D60" s="843"/>
      <c r="E60" s="846" t="s">
        <v>73</v>
      </c>
      <c r="F60" s="843"/>
    </row>
    <row r="61" spans="1:6" ht="27.95" customHeight="1" thickBot="1" x14ac:dyDescent="0.25">
      <c r="A61" s="449" t="str">
        <f>'RT03-F12 @'!B35</f>
        <v>Posición</v>
      </c>
      <c r="B61" s="450" t="str">
        <f>'RT03-F12 @'!B36</f>
        <v>Indicación (g)</v>
      </c>
      <c r="C61" s="451" t="s">
        <v>103</v>
      </c>
      <c r="D61" s="843"/>
      <c r="E61" s="843"/>
      <c r="F61" s="843"/>
    </row>
    <row r="62" spans="1:6" ht="27.95" customHeight="1" x14ac:dyDescent="0.2">
      <c r="A62" s="452">
        <f>'RT03-F12 @'!C35</f>
        <v>1</v>
      </c>
      <c r="B62" s="453">
        <f>'RT03-F12 @'!C36</f>
        <v>0</v>
      </c>
      <c r="C62" s="454">
        <f>'RT03-F12 @'!C37</f>
        <v>0</v>
      </c>
      <c r="D62" s="843"/>
      <c r="F62" s="843"/>
    </row>
    <row r="63" spans="1:6" ht="27.95" customHeight="1" x14ac:dyDescent="0.2">
      <c r="A63" s="455">
        <f>'RT03-F12 @'!D35</f>
        <v>2</v>
      </c>
      <c r="B63" s="456">
        <f>'RT03-F12 @'!D36</f>
        <v>0</v>
      </c>
      <c r="C63" s="457">
        <f>'RT03-F12 @'!D37</f>
        <v>0</v>
      </c>
      <c r="D63" s="843"/>
      <c r="E63" s="843"/>
      <c r="F63" s="843"/>
    </row>
    <row r="64" spans="1:6" ht="27.95" customHeight="1" x14ac:dyDescent="0.2">
      <c r="A64" s="455">
        <f>'RT03-F12 @'!E35</f>
        <v>3</v>
      </c>
      <c r="B64" s="458">
        <f>'RT03-F12 @'!E36</f>
        <v>0</v>
      </c>
      <c r="C64" s="457">
        <f>'RT03-F12 @'!E37</f>
        <v>0</v>
      </c>
      <c r="D64" s="843"/>
      <c r="E64" s="843"/>
      <c r="F64" s="843"/>
    </row>
    <row r="65" spans="1:6" ht="27.95" customHeight="1" x14ac:dyDescent="0.2">
      <c r="A65" s="455">
        <f>'RT03-F12 @'!F35</f>
        <v>4</v>
      </c>
      <c r="B65" s="458">
        <f>'RT03-F12 @'!F36</f>
        <v>0</v>
      </c>
      <c r="C65" s="457">
        <f>'RT03-F12 @'!F37</f>
        <v>0</v>
      </c>
      <c r="D65" s="843"/>
      <c r="E65" s="843"/>
      <c r="F65" s="843"/>
    </row>
    <row r="66" spans="1:6" ht="27.95" customHeight="1" thickBot="1" x14ac:dyDescent="0.25">
      <c r="A66" s="459">
        <f>'RT03-F12 @'!G35</f>
        <v>5</v>
      </c>
      <c r="B66" s="456">
        <f>'RT03-F12 @'!G36</f>
        <v>0</v>
      </c>
      <c r="C66" s="460">
        <f>'RT03-F12 @'!G37</f>
        <v>0</v>
      </c>
      <c r="D66" s="843"/>
      <c r="E66" s="843"/>
      <c r="F66" s="843"/>
    </row>
    <row r="67" spans="1:6" ht="27.95" customHeight="1" thickBot="1" x14ac:dyDescent="0.25">
      <c r="A67" s="1336" t="s">
        <v>298</v>
      </c>
      <c r="B67" s="1337"/>
      <c r="C67" s="461">
        <f>'RT03-F12 @'!C39/1000</f>
        <v>0</v>
      </c>
      <c r="D67" s="843"/>
      <c r="E67" s="843"/>
      <c r="F67" s="843"/>
    </row>
    <row r="68" spans="1:6" ht="12" customHeight="1" x14ac:dyDescent="0.2">
      <c r="A68" s="442"/>
      <c r="B68" s="462"/>
      <c r="C68" s="463"/>
      <c r="D68" s="843"/>
      <c r="E68" s="843"/>
      <c r="F68" s="843"/>
    </row>
    <row r="69" spans="1:6" ht="20.100000000000001" customHeight="1" x14ac:dyDescent="0.2">
      <c r="A69" s="1306" t="s">
        <v>333</v>
      </c>
      <c r="B69" s="1306"/>
      <c r="C69" s="1306"/>
      <c r="D69" s="1306"/>
      <c r="E69" s="1306"/>
      <c r="F69" s="1306"/>
    </row>
    <row r="70" spans="1:6" ht="20.100000000000001" customHeight="1" x14ac:dyDescent="0.2">
      <c r="A70" s="1306"/>
      <c r="B70" s="1306"/>
      <c r="C70" s="1306"/>
      <c r="D70" s="1306"/>
      <c r="E70" s="1306"/>
      <c r="F70" s="1306"/>
    </row>
    <row r="71" spans="1:6" ht="20.100000000000001" customHeight="1" x14ac:dyDescent="0.2">
      <c r="A71" s="1306"/>
      <c r="B71" s="1306"/>
      <c r="C71" s="1306"/>
      <c r="D71" s="1306"/>
      <c r="E71" s="1306"/>
      <c r="F71" s="1306"/>
    </row>
    <row r="72" spans="1:6" ht="20.100000000000001" customHeight="1" x14ac:dyDescent="0.2">
      <c r="A72" s="464"/>
      <c r="B72" s="464"/>
      <c r="C72" s="464"/>
      <c r="D72" s="464"/>
      <c r="E72" s="464"/>
      <c r="F72" s="464"/>
    </row>
    <row r="73" spans="1:6" ht="120" customHeight="1" x14ac:dyDescent="0.2">
      <c r="A73" s="1357"/>
      <c r="B73" s="1357"/>
      <c r="C73" s="1357"/>
      <c r="D73" s="1357"/>
      <c r="E73" s="1357"/>
      <c r="F73" s="1357"/>
    </row>
    <row r="74" spans="1:6" ht="12" customHeight="1" x14ac:dyDescent="0.2">
      <c r="A74" s="834"/>
      <c r="B74" s="834"/>
      <c r="C74" s="834"/>
      <c r="D74" s="834"/>
      <c r="E74" s="834"/>
      <c r="F74" s="834"/>
    </row>
    <row r="75" spans="1:6" ht="18" customHeight="1" x14ac:dyDescent="0.2">
      <c r="A75" s="464"/>
      <c r="B75" s="464"/>
      <c r="C75" s="464"/>
      <c r="D75" s="1312" t="s">
        <v>269</v>
      </c>
      <c r="E75" s="1312"/>
      <c r="F75" s="431" t="e">
        <f>F3</f>
        <v>#N/A</v>
      </c>
    </row>
    <row r="76" spans="1:6" ht="15" customHeight="1" x14ac:dyDescent="0.2">
      <c r="A76" s="1307" t="s">
        <v>76</v>
      </c>
      <c r="B76" s="1307"/>
      <c r="E76" s="442"/>
      <c r="F76" s="442"/>
    </row>
    <row r="77" spans="1:6" ht="12" customHeight="1" thickBot="1" x14ac:dyDescent="0.25">
      <c r="E77" s="442"/>
    </row>
    <row r="78" spans="1:6" ht="15" customHeight="1" thickBot="1" x14ac:dyDescent="0.25">
      <c r="A78" s="1308" t="s">
        <v>265</v>
      </c>
      <c r="B78" s="1309"/>
      <c r="C78" s="1309"/>
      <c r="D78" s="1310"/>
      <c r="E78" s="442"/>
      <c r="F78" s="442"/>
    </row>
    <row r="79" spans="1:6" ht="20.100000000000001" customHeight="1" thickBot="1" x14ac:dyDescent="0.25">
      <c r="A79" s="465" t="str">
        <f>'RT03-F12 @'!A43</f>
        <v>Cargas (g)</v>
      </c>
      <c r="B79" s="466">
        <f>'RT03-F12 @'!A44</f>
        <v>0</v>
      </c>
      <c r="C79" s="466">
        <f>'RT03-F12 @'!A45</f>
        <v>0</v>
      </c>
      <c r="D79" s="467">
        <f>'RT03-F12 @'!A46</f>
        <v>0</v>
      </c>
      <c r="E79" s="442"/>
      <c r="F79" s="442"/>
    </row>
    <row r="80" spans="1:6" ht="30" customHeight="1" thickBot="1" x14ac:dyDescent="0.25">
      <c r="A80" s="468" t="s">
        <v>268</v>
      </c>
      <c r="B80" s="468" t="s">
        <v>75</v>
      </c>
      <c r="C80" s="468" t="s">
        <v>75</v>
      </c>
      <c r="D80" s="468" t="s">
        <v>75</v>
      </c>
      <c r="E80" s="442"/>
      <c r="F80" s="442"/>
    </row>
    <row r="81" spans="1:6" ht="18.95" customHeight="1" x14ac:dyDescent="0.2">
      <c r="A81" s="452">
        <f>'RT03-F12 @'!B43</f>
        <v>1</v>
      </c>
      <c r="B81" s="453">
        <f>'RT03-F12 @'!B44</f>
        <v>0</v>
      </c>
      <c r="C81" s="453">
        <f>'RT03-F12 @'!B45</f>
        <v>0</v>
      </c>
      <c r="D81" s="469">
        <f>'RT03-F12 @'!B46</f>
        <v>0</v>
      </c>
      <c r="E81" s="442"/>
      <c r="F81" s="442"/>
    </row>
    <row r="82" spans="1:6" ht="18.95" customHeight="1" x14ac:dyDescent="0.2">
      <c r="A82" s="455">
        <f>'RT03-F12 @'!C43</f>
        <v>2</v>
      </c>
      <c r="B82" s="458">
        <f>'RT03-F12 @'!C44</f>
        <v>0</v>
      </c>
      <c r="C82" s="458">
        <f>'RT03-F12 @'!C45</f>
        <v>0</v>
      </c>
      <c r="D82" s="470">
        <f>'RT03-F12 @'!C46</f>
        <v>0</v>
      </c>
      <c r="E82" s="442"/>
      <c r="F82" s="442"/>
    </row>
    <row r="83" spans="1:6" ht="18.95" customHeight="1" x14ac:dyDescent="0.2">
      <c r="A83" s="455">
        <f>'RT03-F12 @'!D43</f>
        <v>3</v>
      </c>
      <c r="B83" s="458">
        <f>'RT03-F12 @'!D44</f>
        <v>0</v>
      </c>
      <c r="C83" s="458">
        <f>'RT03-F12 @'!D45</f>
        <v>0</v>
      </c>
      <c r="D83" s="470">
        <f>'RT03-F12 @'!D46</f>
        <v>0</v>
      </c>
      <c r="E83" s="442"/>
      <c r="F83" s="442"/>
    </row>
    <row r="84" spans="1:6" ht="18.95" customHeight="1" x14ac:dyDescent="0.2">
      <c r="A84" s="455">
        <f>'RT03-F12 @'!E43</f>
        <v>4</v>
      </c>
      <c r="B84" s="458">
        <f>'RT03-F12 @'!E44</f>
        <v>0</v>
      </c>
      <c r="C84" s="458">
        <f>'RT03-F12 @'!E45</f>
        <v>0</v>
      </c>
      <c r="D84" s="470">
        <f>'RT03-F12 @'!E46</f>
        <v>0</v>
      </c>
      <c r="E84" s="442"/>
      <c r="F84" s="442"/>
    </row>
    <row r="85" spans="1:6" ht="18.95" customHeight="1" x14ac:dyDescent="0.2">
      <c r="A85" s="455">
        <f>'RT03-F12 @'!F43</f>
        <v>5</v>
      </c>
      <c r="B85" s="458">
        <f>'RT03-F12 @'!F44</f>
        <v>0</v>
      </c>
      <c r="C85" s="458">
        <f>'RT03-F12 @'!F45</f>
        <v>0</v>
      </c>
      <c r="D85" s="470">
        <f>'RT03-F12 @'!F46</f>
        <v>0</v>
      </c>
      <c r="E85" s="442"/>
      <c r="F85" s="442"/>
    </row>
    <row r="86" spans="1:6" ht="18.95" customHeight="1" x14ac:dyDescent="0.2">
      <c r="A86" s="455">
        <f>'RT03-F12 @'!G43</f>
        <v>6</v>
      </c>
      <c r="B86" s="458">
        <f>'RT03-F12 @'!G44</f>
        <v>0</v>
      </c>
      <c r="C86" s="458">
        <f>'RT03-F12 @'!G45</f>
        <v>0</v>
      </c>
      <c r="D86" s="470">
        <f>'RT03-F12 @'!G46</f>
        <v>0</v>
      </c>
      <c r="E86" s="442"/>
      <c r="F86" s="442"/>
    </row>
    <row r="87" spans="1:6" ht="18.95" customHeight="1" x14ac:dyDescent="0.2">
      <c r="A87" s="455">
        <f>'RT03-F12 @'!H43</f>
        <v>7</v>
      </c>
      <c r="B87" s="458">
        <f>'RT03-F12 @'!H44</f>
        <v>0</v>
      </c>
      <c r="C87" s="458">
        <f>'RT03-F12 @'!H45</f>
        <v>0</v>
      </c>
      <c r="D87" s="470">
        <f>'RT03-F12 @'!H46</f>
        <v>0</v>
      </c>
      <c r="E87" s="442"/>
      <c r="F87" s="442"/>
    </row>
    <row r="88" spans="1:6" ht="18.95" customHeight="1" x14ac:dyDescent="0.2">
      <c r="A88" s="455">
        <f>'RT03-F12 @'!I43</f>
        <v>8</v>
      </c>
      <c r="B88" s="458">
        <f>'RT03-F12 @'!I44</f>
        <v>0</v>
      </c>
      <c r="C88" s="458">
        <f>'RT03-F12 @'!I45</f>
        <v>0</v>
      </c>
      <c r="D88" s="470">
        <f>'RT03-F12 @'!I46</f>
        <v>0</v>
      </c>
      <c r="E88" s="442"/>
      <c r="F88" s="442"/>
    </row>
    <row r="89" spans="1:6" ht="18.95" customHeight="1" x14ac:dyDescent="0.2">
      <c r="A89" s="455">
        <f>'RT03-F12 @'!J43</f>
        <v>9</v>
      </c>
      <c r="B89" s="458">
        <f>'RT03-F12 @'!J44</f>
        <v>0</v>
      </c>
      <c r="C89" s="458">
        <f>'RT03-F12 @'!J45</f>
        <v>0</v>
      </c>
      <c r="D89" s="470">
        <f>'RT03-F12 @'!J46</f>
        <v>0</v>
      </c>
      <c r="E89" s="442"/>
      <c r="F89" s="442"/>
    </row>
    <row r="90" spans="1:6" ht="18.95" customHeight="1" thickBot="1" x14ac:dyDescent="0.25">
      <c r="A90" s="471">
        <f>'RT03-F12 @'!K43</f>
        <v>10</v>
      </c>
      <c r="B90" s="472">
        <f>'RT03-F12 @'!K44</f>
        <v>0</v>
      </c>
      <c r="C90" s="472">
        <f>'RT03-F12 @'!K45</f>
        <v>0</v>
      </c>
      <c r="D90" s="473">
        <f>'RT03-F12 @'!K46</f>
        <v>0</v>
      </c>
      <c r="E90" s="843"/>
      <c r="F90" s="843"/>
    </row>
    <row r="91" spans="1:6" ht="12" customHeight="1" x14ac:dyDescent="0.2">
      <c r="A91" s="845"/>
      <c r="B91" s="845"/>
      <c r="C91" s="845"/>
      <c r="D91" s="843"/>
      <c r="E91" s="843"/>
      <c r="F91" s="843"/>
    </row>
    <row r="92" spans="1:6" ht="60" customHeight="1" x14ac:dyDescent="0.2">
      <c r="A92" s="1311" t="s">
        <v>262</v>
      </c>
      <c r="B92" s="1311"/>
      <c r="C92" s="1311"/>
      <c r="D92" s="1311"/>
      <c r="E92" s="1311"/>
      <c r="F92" s="1311"/>
    </row>
    <row r="93" spans="1:6" ht="12" customHeight="1" x14ac:dyDescent="0.2">
      <c r="E93" s="843"/>
      <c r="F93" s="843"/>
    </row>
    <row r="94" spans="1:6" ht="15" customHeight="1" x14ac:dyDescent="0.2">
      <c r="A94" s="1307" t="s">
        <v>266</v>
      </c>
      <c r="B94" s="1307"/>
      <c r="C94" s="1307"/>
      <c r="D94" s="1307"/>
      <c r="E94" s="845"/>
      <c r="F94" s="845"/>
    </row>
    <row r="95" spans="1:6" ht="12" customHeight="1" thickBot="1" x14ac:dyDescent="0.25">
      <c r="D95" s="68"/>
    </row>
    <row r="96" spans="1:6" ht="15" customHeight="1" thickBot="1" x14ac:dyDescent="0.25">
      <c r="A96" s="1329" t="s">
        <v>261</v>
      </c>
      <c r="B96" s="1330"/>
      <c r="C96" s="1331"/>
      <c r="D96" s="859" t="s">
        <v>413</v>
      </c>
      <c r="E96" s="859" t="s">
        <v>435</v>
      </c>
      <c r="F96" s="859" t="s">
        <v>436</v>
      </c>
    </row>
    <row r="97" spans="1:6" ht="39.950000000000003" customHeight="1" thickBot="1" x14ac:dyDescent="0.25">
      <c r="A97" s="762" t="s">
        <v>413</v>
      </c>
      <c r="B97" s="758" t="s">
        <v>285</v>
      </c>
      <c r="C97" s="862" t="s">
        <v>284</v>
      </c>
      <c r="D97" s="859">
        <v>5</v>
      </c>
      <c r="E97" s="859">
        <v>1</v>
      </c>
      <c r="F97" s="859">
        <v>-1</v>
      </c>
    </row>
    <row r="98" spans="1:6" ht="17.100000000000001" customHeight="1" x14ac:dyDescent="0.2">
      <c r="A98" s="763" t="e">
        <f>'RT03-F12 @'!K93</f>
        <v>#N/A</v>
      </c>
      <c r="B98" s="759">
        <f>'RT03-F12 @'!C55</f>
        <v>0</v>
      </c>
      <c r="C98" s="863" t="e">
        <f>'RT03-F12 @'!D55</f>
        <v>#N/A</v>
      </c>
      <c r="D98" s="859">
        <v>1000</v>
      </c>
      <c r="E98" s="859">
        <v>1</v>
      </c>
      <c r="F98" s="859">
        <v>-1</v>
      </c>
    </row>
    <row r="99" spans="1:6" ht="17.100000000000001" customHeight="1" x14ac:dyDescent="0.2">
      <c r="A99" s="764" t="e">
        <f>'RT03-F12 @'!K94</f>
        <v>#N/A</v>
      </c>
      <c r="B99" s="760">
        <f>'RT03-F12 @'!C56</f>
        <v>0</v>
      </c>
      <c r="C99" s="864" t="e">
        <f>'RT03-F12 @'!D56</f>
        <v>#N/A</v>
      </c>
      <c r="D99" s="859">
        <v>2000</v>
      </c>
      <c r="E99" s="859">
        <v>1</v>
      </c>
      <c r="F99" s="859">
        <v>-1</v>
      </c>
    </row>
    <row r="100" spans="1:6" ht="17.100000000000001" customHeight="1" x14ac:dyDescent="0.2">
      <c r="A100" s="764" t="e">
        <f>'RT03-F12 @'!K95</f>
        <v>#N/A</v>
      </c>
      <c r="B100" s="760">
        <f>'RT03-F12 @'!C57</f>
        <v>0</v>
      </c>
      <c r="C100" s="864" t="e">
        <f>'RT03-F12 @'!D57</f>
        <v>#N/A</v>
      </c>
      <c r="D100" s="859">
        <v>5000</v>
      </c>
      <c r="E100" s="859">
        <v>1</v>
      </c>
      <c r="F100" s="859">
        <v>-1</v>
      </c>
    </row>
    <row r="101" spans="1:6" ht="17.100000000000001" customHeight="1" x14ac:dyDescent="0.2">
      <c r="A101" s="764" t="e">
        <f>'RT03-F12 @'!K96</f>
        <v>#N/A</v>
      </c>
      <c r="B101" s="760">
        <f>'RT03-F12 @'!C58</f>
        <v>0</v>
      </c>
      <c r="C101" s="864" t="e">
        <f>'RT03-F12 @'!D58</f>
        <v>#N/A</v>
      </c>
      <c r="D101" s="859">
        <v>5000</v>
      </c>
      <c r="E101" s="859">
        <v>2</v>
      </c>
      <c r="F101" s="859">
        <v>-2</v>
      </c>
    </row>
    <row r="102" spans="1:6" ht="17.100000000000001" customHeight="1" thickBot="1" x14ac:dyDescent="0.25">
      <c r="A102" s="765" t="e">
        <f>'RT03-F12 @'!K97</f>
        <v>#N/A</v>
      </c>
      <c r="B102" s="761">
        <f>'RT03-F12 @'!C59</f>
        <v>0</v>
      </c>
      <c r="C102" s="865" t="e">
        <f>'RT03-F12 @'!D59</f>
        <v>#N/A</v>
      </c>
      <c r="D102" s="859">
        <v>8200</v>
      </c>
      <c r="E102" s="859">
        <v>2</v>
      </c>
      <c r="F102" s="859">
        <v>-2</v>
      </c>
    </row>
    <row r="103" spans="1:6" ht="15.95" customHeight="1" thickBot="1" x14ac:dyDescent="0.25">
      <c r="A103" s="474"/>
      <c r="B103" s="474"/>
      <c r="C103" s="474"/>
      <c r="D103" s="860"/>
      <c r="E103" s="860"/>
      <c r="F103" s="861"/>
    </row>
    <row r="104" spans="1:6" ht="15.95" customHeight="1" thickBot="1" x14ac:dyDescent="0.25">
      <c r="A104" s="1332" t="s">
        <v>263</v>
      </c>
      <c r="B104" s="1333"/>
      <c r="C104" s="1334"/>
      <c r="D104" s="475" t="s">
        <v>367</v>
      </c>
      <c r="E104" s="845"/>
      <c r="F104" s="474"/>
    </row>
    <row r="105" spans="1:6" ht="16.5" thickBot="1" x14ac:dyDescent="0.25">
      <c r="A105" s="762" t="s">
        <v>413</v>
      </c>
      <c r="B105" s="768" t="s">
        <v>220</v>
      </c>
      <c r="C105" s="769" t="s">
        <v>305</v>
      </c>
      <c r="D105" s="772" t="s">
        <v>368</v>
      </c>
      <c r="E105" s="845"/>
      <c r="F105" s="474"/>
    </row>
    <row r="106" spans="1:6" ht="15.95" customHeight="1" x14ac:dyDescent="0.2">
      <c r="A106" s="792" t="e">
        <f>'RT03-F12 @'!K93</f>
        <v>#N/A</v>
      </c>
      <c r="B106" s="776" t="e">
        <f>'RT03-F12 @'!M93</f>
        <v>#DIV/0!</v>
      </c>
      <c r="C106" s="770" t="e">
        <f>'RT03-F12 @'!O93</f>
        <v>#DIV/0!</v>
      </c>
      <c r="D106" s="773" t="e">
        <f>IF(ABS(B106)+C106&gt;=(($C$113)),"NO","SI")</f>
        <v>#DIV/0!</v>
      </c>
      <c r="E106" s="845"/>
      <c r="F106" s="474"/>
    </row>
    <row r="107" spans="1:6" ht="15.95" customHeight="1" x14ac:dyDescent="0.2">
      <c r="A107" s="766" t="e">
        <f>'RT03-F12 @'!K94</f>
        <v>#N/A</v>
      </c>
      <c r="B107" s="776" t="e">
        <f>'RT03-F12 @'!M94</f>
        <v>#DIV/0!</v>
      </c>
      <c r="C107" s="770" t="e">
        <f>'RT03-F12 @'!O94</f>
        <v>#DIV/0!</v>
      </c>
      <c r="D107" s="773" t="e">
        <f t="shared" ref="D107:D109" si="0">IF(ABS(B107)+C107&gt;=(($C$113)),"NO","SI")</f>
        <v>#DIV/0!</v>
      </c>
      <c r="E107" s="845"/>
      <c r="F107" s="474"/>
    </row>
    <row r="108" spans="1:6" ht="15.95" customHeight="1" x14ac:dyDescent="0.2">
      <c r="A108" s="766" t="e">
        <f>'RT03-F12 @'!K95</f>
        <v>#N/A</v>
      </c>
      <c r="B108" s="776" t="e">
        <f>'RT03-F12 @'!M95</f>
        <v>#DIV/0!</v>
      </c>
      <c r="C108" s="770" t="e">
        <f>'RT03-F12 @'!O95</f>
        <v>#DIV/0!</v>
      </c>
      <c r="D108" s="773" t="e">
        <f t="shared" si="0"/>
        <v>#DIV/0!</v>
      </c>
      <c r="E108" s="845"/>
      <c r="F108" s="474"/>
    </row>
    <row r="109" spans="1:6" ht="15.95" customHeight="1" x14ac:dyDescent="0.2">
      <c r="A109" s="766" t="e">
        <f>'RT03-F12 @'!K96</f>
        <v>#N/A</v>
      </c>
      <c r="B109" s="776" t="e">
        <f>'RT03-F12 @'!M96</f>
        <v>#DIV/0!</v>
      </c>
      <c r="C109" s="770" t="e">
        <f>'RT03-F12 @'!O96</f>
        <v>#DIV/0!</v>
      </c>
      <c r="D109" s="773" t="e">
        <f t="shared" si="0"/>
        <v>#DIV/0!</v>
      </c>
      <c r="E109" s="845"/>
      <c r="F109" s="474"/>
    </row>
    <row r="110" spans="1:6" ht="15.95" customHeight="1" thickBot="1" x14ac:dyDescent="0.25">
      <c r="A110" s="767" t="e">
        <f>'RT03-F12 @'!K97</f>
        <v>#N/A</v>
      </c>
      <c r="B110" s="777" t="e">
        <f>'RT03-F12 @'!M97</f>
        <v>#DIV/0!</v>
      </c>
      <c r="C110" s="771" t="e">
        <f>'RT03-F12 @'!O97</f>
        <v>#DIV/0!</v>
      </c>
      <c r="D110" s="774" t="e">
        <f>IF(ABS(B110)+C110&gt;=(($C$114)),"NO","SI")</f>
        <v>#DIV/0!</v>
      </c>
      <c r="E110" s="845"/>
      <c r="F110" s="474"/>
    </row>
    <row r="111" spans="1:6" ht="15.95" customHeight="1" thickBot="1" x14ac:dyDescent="0.25">
      <c r="A111" s="844"/>
      <c r="B111" s="463"/>
      <c r="C111" s="463"/>
      <c r="D111" s="442"/>
      <c r="E111" s="476"/>
      <c r="F111" s="442"/>
    </row>
    <row r="112" spans="1:6" ht="15.95" customHeight="1" thickBot="1" x14ac:dyDescent="0.25">
      <c r="A112" s="477" t="s">
        <v>363</v>
      </c>
      <c r="B112" s="478" t="s">
        <v>364</v>
      </c>
      <c r="C112" s="479" t="s">
        <v>384</v>
      </c>
      <c r="D112" s="442"/>
      <c r="E112" s="476"/>
      <c r="F112" s="442"/>
    </row>
    <row r="113" spans="1:6" ht="15.95" customHeight="1" x14ac:dyDescent="0.2">
      <c r="A113" s="851" t="s">
        <v>365</v>
      </c>
      <c r="B113" s="852" t="s">
        <v>458</v>
      </c>
      <c r="C113" s="853">
        <v>1</v>
      </c>
      <c r="D113" s="442"/>
      <c r="E113" s="476"/>
      <c r="F113" s="442"/>
    </row>
    <row r="114" spans="1:6" ht="30" customHeight="1" thickBot="1" x14ac:dyDescent="0.25">
      <c r="A114" s="854" t="s">
        <v>373</v>
      </c>
      <c r="B114" s="855" t="s">
        <v>459</v>
      </c>
      <c r="C114" s="856">
        <v>2</v>
      </c>
      <c r="D114" s="442"/>
      <c r="E114" s="476"/>
      <c r="F114" s="442"/>
    </row>
    <row r="115" spans="1:6" ht="15.95" customHeight="1" x14ac:dyDescent="0.2">
      <c r="A115" s="442"/>
      <c r="B115" s="442"/>
      <c r="C115" s="442"/>
      <c r="D115" s="442"/>
      <c r="E115" s="476"/>
      <c r="F115" s="442"/>
    </row>
    <row r="116" spans="1:6" ht="22.5" customHeight="1" x14ac:dyDescent="0.2">
      <c r="A116" s="442"/>
      <c r="B116" s="442"/>
      <c r="C116" s="442"/>
      <c r="D116" s="442"/>
      <c r="E116" s="476"/>
      <c r="F116" s="442"/>
    </row>
    <row r="117" spans="1:6" ht="18" customHeight="1" x14ac:dyDescent="0.2">
      <c r="A117" s="844"/>
      <c r="B117" s="463"/>
      <c r="C117" s="463"/>
    </row>
    <row r="118" spans="1:6" ht="120" customHeight="1" x14ac:dyDescent="0.2">
      <c r="A118" s="1335"/>
      <c r="B118" s="1335"/>
      <c r="C118" s="1335"/>
      <c r="D118" s="1335"/>
      <c r="E118" s="1335"/>
      <c r="F118" s="1335"/>
    </row>
    <row r="119" spans="1:6" ht="18" customHeight="1" x14ac:dyDescent="0.2">
      <c r="A119" s="844"/>
      <c r="B119" s="463"/>
      <c r="C119" s="463"/>
      <c r="D119" s="1312" t="s">
        <v>269</v>
      </c>
      <c r="E119" s="1312"/>
      <c r="F119" s="431" t="e">
        <f>F3</f>
        <v>#N/A</v>
      </c>
    </row>
    <row r="120" spans="1:6" ht="18" customHeight="1" x14ac:dyDescent="0.2">
      <c r="A120" s="844"/>
      <c r="B120" s="463"/>
      <c r="C120" s="463"/>
      <c r="D120" s="840"/>
      <c r="E120" s="840"/>
      <c r="F120" s="480"/>
    </row>
    <row r="121" spans="1:6" ht="20.100000000000001" customHeight="1" x14ac:dyDescent="0.2">
      <c r="A121" s="62"/>
      <c r="B121" s="463"/>
      <c r="C121" s="463"/>
      <c r="D121" s="442"/>
      <c r="E121" s="476"/>
      <c r="F121" s="442"/>
    </row>
    <row r="122" spans="1:6" ht="15" customHeight="1" x14ac:dyDescent="0.2">
      <c r="A122" s="474"/>
      <c r="B122" s="463"/>
      <c r="C122" s="463"/>
      <c r="D122" s="845"/>
      <c r="E122" s="845"/>
      <c r="F122" s="845"/>
    </row>
    <row r="123" spans="1:6" ht="15" customHeight="1" x14ac:dyDescent="0.2">
      <c r="A123" s="442"/>
      <c r="B123" s="481"/>
      <c r="C123" s="442"/>
      <c r="D123" s="442"/>
      <c r="E123" s="442"/>
      <c r="F123" s="442"/>
    </row>
    <row r="124" spans="1:6" ht="15" customHeight="1" x14ac:dyDescent="0.2">
      <c r="A124" s="442"/>
      <c r="B124" s="442"/>
      <c r="C124" s="442"/>
      <c r="D124" s="442"/>
      <c r="E124" s="442"/>
      <c r="F124" s="442"/>
    </row>
    <row r="125" spans="1:6" ht="15" customHeight="1" x14ac:dyDescent="0.2">
      <c r="A125" s="442"/>
      <c r="B125" s="442"/>
      <c r="C125" s="442"/>
      <c r="D125" s="442"/>
      <c r="E125" s="442"/>
      <c r="F125" s="442"/>
    </row>
    <row r="126" spans="1:6" ht="15" customHeight="1" x14ac:dyDescent="0.2">
      <c r="A126" s="442"/>
      <c r="B126" s="442"/>
      <c r="C126" s="442"/>
      <c r="D126" s="442"/>
      <c r="E126" s="442"/>
      <c r="F126" s="442"/>
    </row>
    <row r="127" spans="1:6" ht="15" customHeight="1" x14ac:dyDescent="0.2">
      <c r="A127" s="442"/>
      <c r="B127" s="442"/>
      <c r="C127" s="442"/>
      <c r="D127" s="442"/>
      <c r="E127" s="442"/>
      <c r="F127" s="442"/>
    </row>
    <row r="128" spans="1:6" ht="15" customHeight="1" x14ac:dyDescent="0.2">
      <c r="A128" s="442"/>
      <c r="B128" s="442"/>
      <c r="C128" s="442"/>
      <c r="D128" s="442"/>
      <c r="E128" s="442"/>
      <c r="F128" s="442"/>
    </row>
    <row r="129" spans="1:6" ht="15" customHeight="1" x14ac:dyDescent="0.2">
      <c r="A129" s="442"/>
      <c r="B129" s="442"/>
      <c r="C129" s="442"/>
      <c r="D129" s="442"/>
      <c r="E129" s="442"/>
      <c r="F129" s="442"/>
    </row>
    <row r="130" spans="1:6" ht="15" customHeight="1" x14ac:dyDescent="0.2">
      <c r="A130" s="442"/>
      <c r="B130" s="442"/>
      <c r="C130" s="442"/>
      <c r="D130" s="442"/>
      <c r="E130" s="442"/>
      <c r="F130" s="442"/>
    </row>
    <row r="131" spans="1:6" ht="15" customHeight="1" x14ac:dyDescent="0.2">
      <c r="A131" s="442"/>
      <c r="B131" s="442"/>
      <c r="C131" s="442"/>
      <c r="D131" s="442"/>
      <c r="E131" s="442"/>
      <c r="F131" s="442"/>
    </row>
    <row r="132" spans="1:6" ht="15" customHeight="1" x14ac:dyDescent="0.2">
      <c r="A132" s="442"/>
      <c r="B132" s="442"/>
      <c r="C132" s="442"/>
      <c r="D132" s="442"/>
      <c r="E132" s="442"/>
      <c r="F132" s="442"/>
    </row>
    <row r="133" spans="1:6" ht="15" customHeight="1" x14ac:dyDescent="0.2">
      <c r="A133" s="442"/>
      <c r="B133" s="442"/>
      <c r="C133" s="442"/>
      <c r="D133" s="442"/>
      <c r="E133" s="442"/>
      <c r="F133" s="442"/>
    </row>
    <row r="134" spans="1:6" ht="15" customHeight="1" x14ac:dyDescent="0.2">
      <c r="A134" s="442"/>
      <c r="B134" s="442"/>
      <c r="C134" s="442"/>
      <c r="D134" s="442"/>
      <c r="E134" s="442"/>
      <c r="F134" s="442"/>
    </row>
    <row r="135" spans="1:6" ht="15" customHeight="1" x14ac:dyDescent="0.2">
      <c r="D135" s="845"/>
      <c r="E135" s="845"/>
      <c r="F135" s="845"/>
    </row>
    <row r="136" spans="1:6" ht="15" customHeight="1" x14ac:dyDescent="0.2">
      <c r="A136" s="845"/>
      <c r="B136" s="845"/>
      <c r="C136" s="845"/>
      <c r="D136" s="845"/>
      <c r="E136" s="845"/>
      <c r="F136" s="845"/>
    </row>
    <row r="137" spans="1:6" ht="15" customHeight="1" x14ac:dyDescent="0.2">
      <c r="A137" s="845"/>
      <c r="B137" s="845"/>
      <c r="C137" s="845"/>
      <c r="D137" s="845"/>
      <c r="E137" s="845"/>
      <c r="F137" s="845"/>
    </row>
    <row r="138" spans="1:6" ht="15" customHeight="1" x14ac:dyDescent="0.2">
      <c r="A138" s="845"/>
      <c r="B138" s="845"/>
      <c r="C138" s="845"/>
      <c r="D138" s="845"/>
      <c r="E138" s="845"/>
      <c r="F138" s="845"/>
    </row>
    <row r="139" spans="1:6" ht="60" customHeight="1" x14ac:dyDescent="0.2">
      <c r="A139" s="1316" t="s">
        <v>366</v>
      </c>
      <c r="B139" s="1316"/>
      <c r="C139" s="1316"/>
      <c r="D139" s="1316"/>
      <c r="E139" s="1316"/>
      <c r="F139" s="1316"/>
    </row>
    <row r="140" spans="1:6" ht="15" customHeight="1" x14ac:dyDescent="0.2">
      <c r="A140" s="482"/>
      <c r="B140" s="482"/>
      <c r="C140" s="482"/>
      <c r="D140" s="482"/>
      <c r="E140" s="482"/>
      <c r="F140" s="482"/>
    </row>
    <row r="141" spans="1:6" ht="20.100000000000001" customHeight="1" x14ac:dyDescent="0.2">
      <c r="A141" s="1307"/>
      <c r="B141" s="1307"/>
      <c r="C141" s="1307"/>
      <c r="D141" s="845"/>
      <c r="E141" s="845"/>
      <c r="F141" s="845"/>
    </row>
    <row r="142" spans="1:6" ht="20.100000000000001" customHeight="1" x14ac:dyDescent="0.2">
      <c r="A142" s="1314" t="s">
        <v>299</v>
      </c>
      <c r="B142" s="1314"/>
      <c r="C142" s="1314"/>
      <c r="D142" s="1314"/>
      <c r="E142" s="1314"/>
      <c r="F142" s="845"/>
    </row>
    <row r="143" spans="1:6" ht="12" customHeight="1" x14ac:dyDescent="0.2">
      <c r="A143" s="842"/>
      <c r="B143" s="441"/>
      <c r="C143" s="441"/>
      <c r="D143" s="441"/>
      <c r="E143" s="441"/>
      <c r="F143" s="845"/>
    </row>
    <row r="144" spans="1:6" ht="23.1" customHeight="1" x14ac:dyDescent="0.2">
      <c r="A144" s="1313" t="s">
        <v>440</v>
      </c>
      <c r="B144" s="1313"/>
      <c r="C144" s="1313"/>
      <c r="D144" s="1313"/>
      <c r="E144" s="1313"/>
      <c r="F144" s="1313"/>
    </row>
    <row r="145" spans="1:9" ht="23.1" customHeight="1" x14ac:dyDescent="0.2">
      <c r="A145" s="1313"/>
      <c r="B145" s="1313"/>
      <c r="C145" s="1313"/>
      <c r="D145" s="1313"/>
      <c r="E145" s="1313"/>
      <c r="F145" s="1313"/>
    </row>
    <row r="146" spans="1:9" ht="20.100000000000001" customHeight="1" thickBot="1" x14ac:dyDescent="0.25">
      <c r="A146" s="842"/>
      <c r="B146" s="441"/>
      <c r="C146" s="441"/>
      <c r="D146" s="441"/>
      <c r="E146" s="441"/>
      <c r="F146" s="441"/>
    </row>
    <row r="147" spans="1:9" ht="30.75" customHeight="1" thickBot="1" x14ac:dyDescent="0.25">
      <c r="A147" s="1323" t="s">
        <v>460</v>
      </c>
      <c r="B147" s="1324"/>
      <c r="C147" s="1324"/>
      <c r="D147" s="1324"/>
      <c r="E147" s="1324"/>
      <c r="F147" s="1325"/>
    </row>
    <row r="148" spans="1:9" ht="18" customHeight="1" thickBot="1" x14ac:dyDescent="0.25">
      <c r="G148" s="617"/>
    </row>
    <row r="149" spans="1:9" ht="18" customHeight="1" thickBot="1" x14ac:dyDescent="0.25">
      <c r="A149" s="780"/>
      <c r="B149" s="857" t="s">
        <v>250</v>
      </c>
      <c r="C149" s="799" t="e">
        <f>'RT03-F12 @'!F141</f>
        <v>#DIV/0!</v>
      </c>
      <c r="D149" s="800" t="s">
        <v>62</v>
      </c>
      <c r="E149" s="797"/>
      <c r="F149" s="618"/>
      <c r="G149" s="617"/>
    </row>
    <row r="150" spans="1:9" ht="24.75" customHeight="1" thickBot="1" x14ac:dyDescent="0.25">
      <c r="E150" s="796"/>
      <c r="F150" s="796"/>
      <c r="G150" s="617"/>
    </row>
    <row r="151" spans="1:9" ht="30.75" customHeight="1" thickBot="1" x14ac:dyDescent="0.25">
      <c r="A151" s="1326" t="s">
        <v>59</v>
      </c>
      <c r="B151" s="1327"/>
      <c r="C151" s="1327"/>
      <c r="D151" s="1327"/>
      <c r="E151" s="1327"/>
      <c r="F151" s="1328"/>
      <c r="G151" s="617"/>
    </row>
    <row r="152" spans="1:9" ht="20.100000000000001" customHeight="1" thickBot="1" x14ac:dyDescent="0.25">
      <c r="A152" s="779"/>
      <c r="B152" s="779"/>
      <c r="C152" s="779"/>
      <c r="D152" s="779"/>
      <c r="E152" s="781"/>
      <c r="F152" s="782"/>
      <c r="G152" s="617"/>
    </row>
    <row r="153" spans="1:9" ht="20.100000000000001" customHeight="1" thickBot="1" x14ac:dyDescent="0.25">
      <c r="A153" s="785" t="s">
        <v>301</v>
      </c>
      <c r="B153" s="866" t="e">
        <f>IF('RT03-F12 @'!M141&lt;=('DATOS @ '!H157),"0,078",'RT03-F12 @'!M141)</f>
        <v>#DIV/0!</v>
      </c>
      <c r="C153" s="867" t="s">
        <v>267</v>
      </c>
      <c r="D153" s="868" t="e">
        <f>'RT03-F12 @'!O141</f>
        <v>#DIV/0!</v>
      </c>
      <c r="E153" s="866" t="s">
        <v>62</v>
      </c>
      <c r="F153" s="869"/>
      <c r="G153" s="635"/>
      <c r="H153" s="483"/>
      <c r="I153" s="483"/>
    </row>
    <row r="154" spans="1:9" ht="20.100000000000001" customHeight="1" x14ac:dyDescent="0.2">
      <c r="G154" s="617"/>
    </row>
    <row r="155" spans="1:9" ht="18" customHeight="1" x14ac:dyDescent="0.2">
      <c r="A155" s="68"/>
      <c r="B155" s="68"/>
      <c r="C155" s="68"/>
      <c r="D155" s="68"/>
      <c r="E155" s="782"/>
      <c r="F155" s="798"/>
      <c r="G155" s="617"/>
    </row>
    <row r="156" spans="1:9" ht="18" customHeight="1" x14ac:dyDescent="0.2">
      <c r="A156" s="783"/>
      <c r="B156" s="783"/>
      <c r="C156" s="783"/>
      <c r="D156" s="783"/>
      <c r="E156" s="784"/>
      <c r="F156" s="782"/>
      <c r="G156" s="617"/>
    </row>
    <row r="157" spans="1:9" ht="120" customHeight="1" x14ac:dyDescent="0.2">
      <c r="A157" s="1317"/>
      <c r="B157" s="1317"/>
      <c r="C157" s="1317"/>
      <c r="D157" s="1317"/>
      <c r="E157" s="1317"/>
      <c r="F157" s="1317"/>
    </row>
    <row r="158" spans="1:9" ht="18" customHeight="1" x14ac:dyDescent="0.2"/>
    <row r="159" spans="1:9" ht="17.25" customHeight="1" x14ac:dyDescent="0.2">
      <c r="D159" s="1312" t="s">
        <v>269</v>
      </c>
      <c r="E159" s="1312"/>
      <c r="F159" s="431" t="e">
        <f>F3</f>
        <v>#N/A</v>
      </c>
    </row>
    <row r="160" spans="1:9" ht="17.25" customHeight="1" x14ac:dyDescent="0.2">
      <c r="D160" s="840"/>
      <c r="E160" s="840"/>
      <c r="F160" s="480"/>
    </row>
    <row r="161" spans="1:7" ht="20.100000000000001" customHeight="1" x14ac:dyDescent="0.2">
      <c r="A161" s="1314" t="s">
        <v>300</v>
      </c>
      <c r="B161" s="1314"/>
      <c r="C161" s="1314"/>
      <c r="D161" s="618"/>
      <c r="E161" s="484"/>
      <c r="F161" s="484"/>
    </row>
    <row r="162" spans="1:7" ht="12" customHeight="1" x14ac:dyDescent="0.2">
      <c r="A162" s="1315"/>
      <c r="B162" s="1315"/>
      <c r="C162" s="1315"/>
      <c r="D162" s="1315"/>
      <c r="E162" s="1315"/>
      <c r="F162" s="1315"/>
    </row>
    <row r="163" spans="1:7" ht="33" customHeight="1" x14ac:dyDescent="0.2">
      <c r="A163" s="1300" t="s">
        <v>473</v>
      </c>
      <c r="B163" s="1300"/>
      <c r="C163" s="1300"/>
      <c r="D163" s="1300"/>
      <c r="E163" s="1300"/>
      <c r="F163" s="1300"/>
    </row>
    <row r="164" spans="1:7" ht="33" customHeight="1" x14ac:dyDescent="0.2">
      <c r="A164" s="1301" t="s">
        <v>463</v>
      </c>
      <c r="B164" s="1301"/>
      <c r="C164" s="1301"/>
      <c r="D164" s="1301"/>
      <c r="E164" s="1301"/>
      <c r="F164" s="1301"/>
      <c r="G164" s="485"/>
    </row>
    <row r="165" spans="1:7" ht="33" customHeight="1" x14ac:dyDescent="0.2">
      <c r="A165" s="1301" t="s">
        <v>464</v>
      </c>
      <c r="B165" s="1301"/>
      <c r="C165" s="1301"/>
      <c r="D165" s="1301"/>
      <c r="E165" s="1301"/>
      <c r="F165" s="1301"/>
      <c r="G165" s="485"/>
    </row>
    <row r="166" spans="1:7" ht="23.1" customHeight="1" x14ac:dyDescent="0.2">
      <c r="A166" s="1301" t="s">
        <v>465</v>
      </c>
      <c r="B166" s="1301"/>
      <c r="C166" s="1301"/>
      <c r="D166" s="1301"/>
      <c r="E166" s="1301"/>
      <c r="F166" s="1301"/>
    </row>
    <row r="167" spans="1:7" ht="23.1" customHeight="1" x14ac:dyDescent="0.2">
      <c r="A167" s="1301" t="s">
        <v>466</v>
      </c>
      <c r="B167" s="1301"/>
      <c r="C167" s="1301"/>
      <c r="D167" s="1301"/>
      <c r="E167" s="1301"/>
      <c r="F167" s="1301"/>
    </row>
    <row r="168" spans="1:7" s="485" customFormat="1" ht="33" customHeight="1" x14ac:dyDescent="0.2">
      <c r="A168" s="1301" t="s">
        <v>467</v>
      </c>
      <c r="B168" s="1301"/>
      <c r="C168" s="1301"/>
      <c r="D168" s="1301"/>
      <c r="E168" s="1301"/>
      <c r="F168" s="1301"/>
    </row>
    <row r="169" spans="1:7" ht="23.1" customHeight="1" x14ac:dyDescent="0.2">
      <c r="A169" s="1300" t="s">
        <v>468</v>
      </c>
      <c r="B169" s="1300"/>
      <c r="C169" s="1300"/>
      <c r="D169" s="1300"/>
      <c r="E169" s="1300"/>
      <c r="F169" s="1300"/>
    </row>
    <row r="170" spans="1:7" ht="23.1" customHeight="1" x14ac:dyDescent="0.2">
      <c r="A170" s="1300" t="s">
        <v>469</v>
      </c>
      <c r="B170" s="1300"/>
      <c r="C170" s="1300"/>
      <c r="D170" s="1300"/>
      <c r="E170" s="1300"/>
      <c r="F170" s="1300"/>
    </row>
    <row r="171" spans="1:7" ht="23.1" customHeight="1" x14ac:dyDescent="0.2">
      <c r="A171" s="1300" t="s">
        <v>472</v>
      </c>
      <c r="B171" s="1300"/>
      <c r="C171" s="1300"/>
      <c r="D171" s="1300"/>
      <c r="E171" s="1300"/>
      <c r="F171" s="1300"/>
    </row>
    <row r="172" spans="1:7" ht="57.95" customHeight="1" x14ac:dyDescent="0.2">
      <c r="A172" s="1300" t="s">
        <v>474</v>
      </c>
      <c r="B172" s="1300"/>
      <c r="C172" s="1300"/>
      <c r="D172" s="1300"/>
      <c r="E172" s="1300"/>
      <c r="F172" s="1300"/>
    </row>
    <row r="173" spans="1:7" ht="20.100000000000001" customHeight="1" x14ac:dyDescent="0.2">
      <c r="A173" s="1299"/>
      <c r="B173" s="1299"/>
      <c r="C173" s="1299"/>
      <c r="D173" s="1299"/>
      <c r="E173" s="1299"/>
      <c r="F173" s="1299"/>
    </row>
    <row r="174" spans="1:7" ht="20.100000000000001" customHeight="1" x14ac:dyDescent="0.25">
      <c r="A174" s="1302" t="s">
        <v>371</v>
      </c>
      <c r="B174" s="1302"/>
      <c r="C174" s="486"/>
      <c r="D174" s="486"/>
      <c r="E174" s="487"/>
      <c r="F174" s="487"/>
    </row>
    <row r="175" spans="1:7" ht="20.100000000000001" customHeight="1" x14ac:dyDescent="0.2">
      <c r="A175" s="848"/>
      <c r="B175" s="848"/>
      <c r="C175" s="848"/>
      <c r="D175" s="848"/>
      <c r="E175" s="848"/>
      <c r="F175" s="848"/>
    </row>
    <row r="176" spans="1:7" ht="20.100000000000001" customHeight="1" x14ac:dyDescent="0.2">
      <c r="A176" s="1299"/>
      <c r="B176" s="1299"/>
      <c r="C176" s="1299"/>
      <c r="D176" s="1299"/>
      <c r="E176" s="1299"/>
      <c r="F176" s="1299"/>
    </row>
    <row r="177" spans="1:10" ht="30" customHeight="1" x14ac:dyDescent="0.2">
      <c r="A177" s="488"/>
      <c r="B177" s="488"/>
      <c r="C177" s="858"/>
      <c r="D177" s="490"/>
      <c r="E177" s="490"/>
      <c r="F177" s="858"/>
    </row>
    <row r="178" spans="1:10" ht="20.100000000000001" customHeight="1" x14ac:dyDescent="0.2">
      <c r="A178" s="1304" t="s">
        <v>77</v>
      </c>
      <c r="B178" s="1304"/>
      <c r="C178" s="1304"/>
      <c r="D178" s="1304" t="s">
        <v>92</v>
      </c>
      <c r="E178" s="1304"/>
      <c r="F178" s="1304"/>
    </row>
    <row r="179" spans="1:10" ht="23.1" customHeight="1" x14ac:dyDescent="0.2">
      <c r="A179" s="1298" t="s">
        <v>302</v>
      </c>
      <c r="B179" s="1298"/>
      <c r="C179" s="1298"/>
      <c r="D179" s="1298" t="s">
        <v>303</v>
      </c>
      <c r="E179" s="1298"/>
      <c r="F179" s="1298"/>
    </row>
    <row r="180" spans="1:10" ht="23.1" customHeight="1" x14ac:dyDescent="0.2">
      <c r="A180" s="1298" t="e">
        <f>VLOOKUP($C$177,'DATOS @ '!$A$113:$D$159,4,FALSE)</f>
        <v>#N/A</v>
      </c>
      <c r="B180" s="1298"/>
      <c r="C180" s="1298"/>
      <c r="D180" s="1298" t="e">
        <f>VLOOKUP($F$177,'DATOS @ '!A156:F159,6,FALSE)</f>
        <v>#N/A</v>
      </c>
      <c r="E180" s="1298"/>
      <c r="F180" s="1298"/>
    </row>
    <row r="181" spans="1:10" ht="23.1" customHeight="1" x14ac:dyDescent="0.2">
      <c r="A181" s="1296" t="e">
        <f>VLOOKUP($C$177,'DATOS @ '!$A$113:$H$168,2,FALSE)</f>
        <v>#N/A</v>
      </c>
      <c r="B181" s="1296"/>
      <c r="C181" s="1296"/>
      <c r="D181" s="1296" t="e">
        <f>VLOOKUP($F$177,'DATOS @ '!A156:F159,2,FALSE)</f>
        <v>#N/A</v>
      </c>
      <c r="E181" s="1296"/>
      <c r="F181" s="1296"/>
    </row>
    <row r="183" spans="1:10" ht="20.25" customHeight="1" x14ac:dyDescent="0.2"/>
    <row r="184" spans="1:10" ht="23.1" customHeight="1" x14ac:dyDescent="0.2">
      <c r="A184" s="1298" t="s">
        <v>270</v>
      </c>
      <c r="B184" s="1298"/>
      <c r="C184" s="1303"/>
      <c r="D184" s="1303"/>
    </row>
    <row r="186" spans="1:10" ht="23.1" customHeight="1" x14ac:dyDescent="0.25">
      <c r="A186" s="1297" t="s">
        <v>372</v>
      </c>
      <c r="B186" s="1297"/>
      <c r="C186" s="1297"/>
      <c r="D186" s="1297"/>
      <c r="E186" s="1297"/>
      <c r="F186" s="1297"/>
      <c r="J186" s="833"/>
    </row>
  </sheetData>
  <sheetProtection algorithmName="SHA-512" hashValue="uL9ghO/jOPmiLSXqiuHrzJF5fl2PANn8LLNgfV0hbMPKzNYWOQnXHfj8Gbkwfgh/BG7/gMeI3LM6UJ8JZzisdg==" saltValue="hB8RdfxGRi5kh4W3WamE+g==" spinCount="100000" sheet="1" objects="1" scenarios="1"/>
  <mergeCells count="95">
    <mergeCell ref="A1:F1"/>
    <mergeCell ref="A73:F73"/>
    <mergeCell ref="C14:D14"/>
    <mergeCell ref="C15:D15"/>
    <mergeCell ref="A27:B27"/>
    <mergeCell ref="C27:E27"/>
    <mergeCell ref="A23:F23"/>
    <mergeCell ref="A16:B16"/>
    <mergeCell ref="A8:B8"/>
    <mergeCell ref="C8:D8"/>
    <mergeCell ref="A20:B20"/>
    <mergeCell ref="A44:F44"/>
    <mergeCell ref="A21:B21"/>
    <mergeCell ref="D3:E3"/>
    <mergeCell ref="A4:C4"/>
    <mergeCell ref="A6:B6"/>
    <mergeCell ref="C6:F6"/>
    <mergeCell ref="A7:B7"/>
    <mergeCell ref="C7:D7"/>
    <mergeCell ref="A19:B19"/>
    <mergeCell ref="A10:B10"/>
    <mergeCell ref="D10:E10"/>
    <mergeCell ref="A18:B18"/>
    <mergeCell ref="C17:D17"/>
    <mergeCell ref="A12:F12"/>
    <mergeCell ref="C16:F16"/>
    <mergeCell ref="A29:F29"/>
    <mergeCell ref="A39:F39"/>
    <mergeCell ref="A48:B48"/>
    <mergeCell ref="A51:B51"/>
    <mergeCell ref="C48:D48"/>
    <mergeCell ref="C49:D49"/>
    <mergeCell ref="C50:D50"/>
    <mergeCell ref="C51:D51"/>
    <mergeCell ref="A49:B49"/>
    <mergeCell ref="A31:F32"/>
    <mergeCell ref="D43:E43"/>
    <mergeCell ref="A50:B50"/>
    <mergeCell ref="A46:F46"/>
    <mergeCell ref="A34:F34"/>
    <mergeCell ref="A37:B37"/>
    <mergeCell ref="A55:F55"/>
    <mergeCell ref="C53:D53"/>
    <mergeCell ref="A53:B53"/>
    <mergeCell ref="A147:F147"/>
    <mergeCell ref="A151:F151"/>
    <mergeCell ref="D119:E119"/>
    <mergeCell ref="A94:D94"/>
    <mergeCell ref="A96:C96"/>
    <mergeCell ref="A104:C104"/>
    <mergeCell ref="A118:F118"/>
    <mergeCell ref="D75:E75"/>
    <mergeCell ref="A67:B67"/>
    <mergeCell ref="A181:C181"/>
    <mergeCell ref="D181:F181"/>
    <mergeCell ref="A139:F139"/>
    <mergeCell ref="A157:F157"/>
    <mergeCell ref="A178:C178"/>
    <mergeCell ref="D179:F179"/>
    <mergeCell ref="A170:F170"/>
    <mergeCell ref="A179:C179"/>
    <mergeCell ref="A171:F171"/>
    <mergeCell ref="A172:F172"/>
    <mergeCell ref="A25:F25"/>
    <mergeCell ref="A167:F167"/>
    <mergeCell ref="A168:F168"/>
    <mergeCell ref="A69:F71"/>
    <mergeCell ref="A76:B76"/>
    <mergeCell ref="A78:D78"/>
    <mergeCell ref="A92:F92"/>
    <mergeCell ref="D159:E159"/>
    <mergeCell ref="A144:F145"/>
    <mergeCell ref="A141:C141"/>
    <mergeCell ref="A142:E142"/>
    <mergeCell ref="A57:C57"/>
    <mergeCell ref="A162:F162"/>
    <mergeCell ref="A161:C161"/>
    <mergeCell ref="A163:F163"/>
    <mergeCell ref="A164:F164"/>
    <mergeCell ref="C52:D52"/>
    <mergeCell ref="A59:C59"/>
    <mergeCell ref="A38:B38"/>
    <mergeCell ref="A41:F41"/>
    <mergeCell ref="A186:F186"/>
    <mergeCell ref="A184:B184"/>
    <mergeCell ref="A173:F173"/>
    <mergeCell ref="A176:F176"/>
    <mergeCell ref="A169:F169"/>
    <mergeCell ref="A165:F165"/>
    <mergeCell ref="A166:F166"/>
    <mergeCell ref="A174:B174"/>
    <mergeCell ref="C184:D184"/>
    <mergeCell ref="D178:F178"/>
    <mergeCell ref="A180:C180"/>
    <mergeCell ref="D180:F180"/>
  </mergeCells>
  <printOptions horizontalCentered="1"/>
  <pageMargins left="0.23622047244094491" right="0.23622047244094491" top="0.74803149606299213" bottom="0.74803149606299213" header="0.31496062992125984" footer="0.31496062992125984"/>
  <pageSetup scale="70" orientation="portrait" r:id="rId1"/>
  <headerFooter>
    <oddHeader xml:space="preserve">&amp;CCERTIFICADO DE CALIBRACIÓN DE BALANZAS&amp;R&amp;"-,Negrita"&amp;12
             </oddHeader>
    <oddFooter>&amp;R&amp;8
  RT03-F15  Vr.10 (2020-03-13)
Página  &amp;P de &amp;N</oddFooter>
  </headerFooter>
  <rowBreaks count="4" manualBreakCount="4">
    <brk id="40" max="5" man="1"/>
    <brk id="72" max="5" man="1"/>
    <brk id="117" max="5" man="1"/>
    <brk id="156"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 '!$A$156:$A$158</xm:f>
          </x14:formula1>
          <xm:sqref>C177</xm:sqref>
        </x14:dataValidation>
        <x14:dataValidation type="list" allowBlank="1" showInputMessage="1" showErrorMessage="1">
          <x14:formula1>
            <xm:f>'DATOS @ '!$A$156:$A$159</xm:f>
          </x14:formula1>
          <xm:sqref>F177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O23"/>
  <sheetViews>
    <sheetView showGridLines="0" view="pageBreakPreview" zoomScaleNormal="140" zoomScaleSheetLayoutView="100" workbookViewId="0">
      <selection activeCell="J20" sqref="J20"/>
    </sheetView>
  </sheetViews>
  <sheetFormatPr baseColWidth="10" defaultRowHeight="15" x14ac:dyDescent="0.25"/>
  <cols>
    <col min="2" max="2" width="14.5703125" customWidth="1"/>
    <col min="3" max="3" width="12" customWidth="1"/>
    <col min="5" max="5" width="13.42578125" customWidth="1"/>
    <col min="7" max="7" width="13.140625" bestFit="1" customWidth="1"/>
    <col min="8" max="8" width="25.140625" customWidth="1"/>
    <col min="9" max="9" width="12" customWidth="1"/>
  </cols>
  <sheetData>
    <row r="2" spans="2:11" ht="15.75" thickBot="1" x14ac:dyDescent="0.3"/>
    <row r="3" spans="2:11" ht="15.75" thickBot="1" x14ac:dyDescent="0.3">
      <c r="B3" s="1360" t="s">
        <v>415</v>
      </c>
      <c r="C3" s="1361"/>
      <c r="D3" s="1361"/>
      <c r="E3" s="1361"/>
      <c r="F3" s="1361"/>
      <c r="G3" s="1361"/>
      <c r="H3" s="1361"/>
      <c r="I3" s="1362"/>
    </row>
    <row r="4" spans="2:11" ht="15.75" thickBot="1" x14ac:dyDescent="0.3">
      <c r="B4" s="1363" t="s">
        <v>424</v>
      </c>
      <c r="C4" s="1364"/>
      <c r="D4" s="1364"/>
      <c r="E4" s="1364"/>
      <c r="F4" s="1364"/>
      <c r="G4" s="1364"/>
      <c r="H4" s="1364"/>
      <c r="I4" s="1365"/>
    </row>
    <row r="5" spans="2:11" ht="58.5" customHeight="1" x14ac:dyDescent="0.25">
      <c r="B5" s="649" t="s">
        <v>413</v>
      </c>
      <c r="C5" s="650" t="s">
        <v>220</v>
      </c>
      <c r="D5" s="650" t="s">
        <v>305</v>
      </c>
      <c r="E5" s="650" t="s">
        <v>410</v>
      </c>
      <c r="F5" s="650" t="s">
        <v>411</v>
      </c>
      <c r="G5" s="650" t="s">
        <v>412</v>
      </c>
      <c r="H5" s="653" t="s">
        <v>421</v>
      </c>
      <c r="I5" s="651" t="s">
        <v>420</v>
      </c>
    </row>
    <row r="6" spans="2:11" x14ac:dyDescent="0.25">
      <c r="B6" s="644">
        <v>5</v>
      </c>
      <c r="C6" s="642" t="e">
        <f>' RT03-F15 @'!B106</f>
        <v>#DIV/0!</v>
      </c>
      <c r="D6" s="641" t="e">
        <f>' RT03-F15 @'!C106</f>
        <v>#DIV/0!</v>
      </c>
      <c r="E6" s="744" t="e">
        <f>D6/B6</f>
        <v>#DIV/0!</v>
      </c>
      <c r="F6" s="1378" t="e">
        <f>MAX(E6:E10)</f>
        <v>#DIV/0!</v>
      </c>
      <c r="G6" s="1381" t="e">
        <f>MIN(E6:E10)</f>
        <v>#DIV/0!</v>
      </c>
      <c r="H6" s="641" t="e">
        <f>'RT03-F12 @'!$M$141+('RT03-F12 @'!$O$141*' CMC @'!B6)</f>
        <v>#DIV/0!</v>
      </c>
      <c r="I6" s="665" t="e">
        <f>H6/B6</f>
        <v>#DIV/0!</v>
      </c>
    </row>
    <row r="7" spans="2:11" x14ac:dyDescent="0.25">
      <c r="B7" s="644">
        <v>1000</v>
      </c>
      <c r="C7" s="642" t="e">
        <f>' RT03-F15 @'!B107</f>
        <v>#DIV/0!</v>
      </c>
      <c r="D7" s="641" t="e">
        <f>' RT03-F15 @'!C107</f>
        <v>#DIV/0!</v>
      </c>
      <c r="E7" s="744" t="e">
        <f t="shared" ref="E7:E10" si="0">D7/B7</f>
        <v>#DIV/0!</v>
      </c>
      <c r="F7" s="1379"/>
      <c r="G7" s="1382"/>
      <c r="H7" s="641" t="e">
        <f>'RT03-F12 @'!$M$141+('RT03-F12 @'!$O$141*' CMC @'!B7)</f>
        <v>#DIV/0!</v>
      </c>
      <c r="I7" s="665" t="e">
        <f t="shared" ref="I7:I9" si="1">H7/B7</f>
        <v>#DIV/0!</v>
      </c>
    </row>
    <row r="8" spans="2:11" x14ac:dyDescent="0.25">
      <c r="B8" s="644">
        <v>2000</v>
      </c>
      <c r="C8" s="642" t="e">
        <f>' RT03-F15 @'!B108</f>
        <v>#DIV/0!</v>
      </c>
      <c r="D8" s="641" t="e">
        <f>' RT03-F15 @'!C108</f>
        <v>#DIV/0!</v>
      </c>
      <c r="E8" s="744" t="e">
        <f t="shared" si="0"/>
        <v>#DIV/0!</v>
      </c>
      <c r="F8" s="1379"/>
      <c r="G8" s="1382"/>
      <c r="H8" s="641" t="e">
        <f>'RT03-F12 @'!$M$141+('RT03-F12 @'!$O$141*' CMC @'!B8)</f>
        <v>#DIV/0!</v>
      </c>
      <c r="I8" s="665" t="e">
        <f t="shared" si="1"/>
        <v>#DIV/0!</v>
      </c>
    </row>
    <row r="9" spans="2:11" x14ac:dyDescent="0.25">
      <c r="B9" s="644">
        <v>5000</v>
      </c>
      <c r="C9" s="642" t="e">
        <f>' RT03-F15 @'!B109</f>
        <v>#DIV/0!</v>
      </c>
      <c r="D9" s="641" t="e">
        <f>' RT03-F15 @'!C109</f>
        <v>#DIV/0!</v>
      </c>
      <c r="E9" s="744" t="e">
        <f t="shared" si="0"/>
        <v>#DIV/0!</v>
      </c>
      <c r="F9" s="1379"/>
      <c r="G9" s="1382"/>
      <c r="H9" s="641" t="e">
        <f>'RT03-F12 @'!$M$141+('RT03-F12 @'!$O$141*' CMC @'!B9)</f>
        <v>#DIV/0!</v>
      </c>
      <c r="I9" s="665" t="e">
        <f t="shared" si="1"/>
        <v>#DIV/0!</v>
      </c>
    </row>
    <row r="10" spans="2:11" ht="15.75" thickBot="1" x14ac:dyDescent="0.3">
      <c r="B10" s="645">
        <v>8200</v>
      </c>
      <c r="C10" s="646" t="e">
        <f>' RT03-F15 @'!B110</f>
        <v>#DIV/0!</v>
      </c>
      <c r="D10" s="652" t="e">
        <f>' RT03-F15 @'!C110</f>
        <v>#DIV/0!</v>
      </c>
      <c r="E10" s="745" t="e">
        <f t="shared" si="0"/>
        <v>#DIV/0!</v>
      </c>
      <c r="F10" s="1380"/>
      <c r="G10" s="1383"/>
      <c r="H10" s="652" t="e">
        <f>'RT03-F12 @'!$M$141+('RT03-F12 @'!$O$141*' CMC @'!B10)</f>
        <v>#DIV/0!</v>
      </c>
      <c r="I10" s="743" t="e">
        <f>H10/B10</f>
        <v>#DIV/0!</v>
      </c>
    </row>
    <row r="11" spans="2:11" x14ac:dyDescent="0.25">
      <c r="B11" s="640"/>
      <c r="C11" s="640"/>
      <c r="D11" s="640"/>
      <c r="E11" s="640"/>
      <c r="F11" s="640"/>
      <c r="G11" s="640"/>
    </row>
    <row r="12" spans="2:11" ht="15.75" thickBot="1" x14ac:dyDescent="0.3"/>
    <row r="13" spans="2:11" ht="51" customHeight="1" thickBot="1" x14ac:dyDescent="0.3">
      <c r="B13" s="1384" t="s">
        <v>414</v>
      </c>
      <c r="C13" s="1385"/>
      <c r="D13" s="1385"/>
      <c r="E13" s="1385"/>
      <c r="F13" s="1385"/>
      <c r="G13" s="1385"/>
      <c r="H13" s="1385"/>
      <c r="I13" s="1385"/>
      <c r="J13" s="1385"/>
      <c r="K13" s="1386"/>
    </row>
    <row r="14" spans="2:11" ht="15.75" thickBot="1" x14ac:dyDescent="0.3"/>
    <row r="15" spans="2:11" ht="57" customHeight="1" x14ac:dyDescent="0.25">
      <c r="B15" s="649" t="s">
        <v>417</v>
      </c>
      <c r="C15" s="658" t="s">
        <v>418</v>
      </c>
      <c r="D15" s="1375" t="s">
        <v>416</v>
      </c>
      <c r="G15" s="1366" t="s">
        <v>423</v>
      </c>
      <c r="H15" s="1369" t="s">
        <v>422</v>
      </c>
    </row>
    <row r="16" spans="2:11" x14ac:dyDescent="0.25">
      <c r="B16" s="654">
        <v>200</v>
      </c>
      <c r="C16" s="659">
        <v>1</v>
      </c>
      <c r="D16" s="1376"/>
      <c r="G16" s="1367"/>
      <c r="H16" s="1370"/>
    </row>
    <row r="17" spans="2:15" x14ac:dyDescent="0.25">
      <c r="B17" s="654">
        <v>1000</v>
      </c>
      <c r="C17" s="659">
        <v>5</v>
      </c>
      <c r="D17" s="1376"/>
      <c r="G17" s="1367"/>
      <c r="H17" s="1370"/>
    </row>
    <row r="18" spans="2:15" x14ac:dyDescent="0.25">
      <c r="B18" s="654">
        <v>2000</v>
      </c>
      <c r="C18" s="660">
        <v>10</v>
      </c>
      <c r="D18" s="1376"/>
      <c r="G18" s="1367"/>
      <c r="H18" s="1370"/>
    </row>
    <row r="19" spans="2:15" ht="15.75" thickBot="1" x14ac:dyDescent="0.3">
      <c r="B19" s="655">
        <v>5000</v>
      </c>
      <c r="C19" s="661">
        <v>25</v>
      </c>
      <c r="D19" s="1377"/>
      <c r="G19" s="1368"/>
      <c r="H19" s="1371"/>
      <c r="O19" s="647"/>
    </row>
    <row r="20" spans="2:15" ht="15.75" thickBot="1" x14ac:dyDescent="0.3">
      <c r="B20" s="1372" t="s">
        <v>419</v>
      </c>
      <c r="C20" s="1373"/>
      <c r="D20" s="1374"/>
      <c r="G20" s="656"/>
      <c r="H20" s="657"/>
    </row>
    <row r="21" spans="2:15" ht="15.75" thickBot="1" x14ac:dyDescent="0.3">
      <c r="B21" s="643">
        <f>SUM(B16:B19)</f>
        <v>8200</v>
      </c>
      <c r="C21" s="664">
        <f>SUM(C16:C19)/1000</f>
        <v>4.1000000000000002E-2</v>
      </c>
      <c r="D21" s="778">
        <f>C21/B21</f>
        <v>5.0000000000000004E-6</v>
      </c>
      <c r="G21" s="662" t="e">
        <f>'RT03-F12 @'!$M$141+(' CMC @'!D21*' CMC @'!B21)</f>
        <v>#DIV/0!</v>
      </c>
      <c r="H21" s="663" t="e">
        <f>G21/B21</f>
        <v>#DIV/0!</v>
      </c>
      <c r="O21" s="648"/>
    </row>
    <row r="22" spans="2:15" ht="15.75" thickBot="1" x14ac:dyDescent="0.3"/>
    <row r="23" spans="2:15" ht="15.75" thickBot="1" x14ac:dyDescent="0.3">
      <c r="D23" s="746" t="e">
        <f>MIN(D21,E10,I10)</f>
        <v>#DIV/0!</v>
      </c>
    </row>
  </sheetData>
  <sheetProtection algorithmName="SHA-512" hashValue="8YqjOBhyoeYidpN2i/CipOMdPF2QHDplIs5m9Vas7JBNuoaAtWpkkZmzOpGUmoDuCTbbZUv7aM/wLqGG7FGDJg==" saltValue="wQIXN6kMiKryUNftiqhn4Q==" spinCount="100000" sheet="1" objects="1" scenarios="1"/>
  <mergeCells count="9">
    <mergeCell ref="B3:I3"/>
    <mergeCell ref="B4:I4"/>
    <mergeCell ref="G15:G19"/>
    <mergeCell ref="H15:H19"/>
    <mergeCell ref="B20:D20"/>
    <mergeCell ref="D15:D19"/>
    <mergeCell ref="F6:F10"/>
    <mergeCell ref="G6:G10"/>
    <mergeCell ref="B13:K13"/>
  </mergeCells>
  <pageMargins left="0.70866141732283472" right="0.70866141732283472" top="0.74803149606299213" bottom="0.74803149606299213" header="0.31496062992125984" footer="0.31496062992125984"/>
  <pageSetup scale="61" orientation="portrait" r:id="rId1"/>
  <headerFooter>
    <oddFooter>&amp;RRT03-F12 Vr.10 (2020-03-13)
Página &amp;P de 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86"/>
  <sheetViews>
    <sheetView showGridLines="0" tabSelected="1" showRuler="0" showWhiteSpace="0" view="pageBreakPreview" zoomScale="85" zoomScaleNormal="110" zoomScaleSheetLayoutView="85" zoomScalePageLayoutView="85" workbookViewId="0">
      <selection activeCell="F15" sqref="F15"/>
    </sheetView>
  </sheetViews>
  <sheetFormatPr baseColWidth="10" defaultRowHeight="15" customHeight="1" x14ac:dyDescent="0.2"/>
  <cols>
    <col min="1" max="1" width="20.140625" style="61" customWidth="1"/>
    <col min="2" max="3" width="17.7109375" style="61" customWidth="1"/>
    <col min="4" max="4" width="20.42578125" style="61" customWidth="1"/>
    <col min="5" max="5" width="17.7109375" style="61" customWidth="1"/>
    <col min="6" max="6" width="21.28515625" style="61" customWidth="1"/>
    <col min="7" max="13" width="11.42578125" style="61"/>
    <col min="14" max="14" width="7.140625" style="61" customWidth="1"/>
    <col min="15" max="17" width="11.42578125" style="61" hidden="1" customWidth="1"/>
    <col min="18" max="16384" width="11.42578125" style="61"/>
  </cols>
  <sheetData>
    <row r="1" spans="1:6" ht="120" customHeight="1" x14ac:dyDescent="0.2">
      <c r="A1" s="1317"/>
      <c r="B1" s="1317"/>
      <c r="C1" s="1317"/>
      <c r="D1" s="1317"/>
      <c r="E1" s="1317"/>
      <c r="F1" s="1317"/>
    </row>
    <row r="2" spans="1:6" ht="18" customHeight="1" x14ac:dyDescent="0.2">
      <c r="A2" s="874"/>
      <c r="B2" s="874"/>
    </row>
    <row r="3" spans="1:6" ht="18" customHeight="1" x14ac:dyDescent="0.2">
      <c r="A3" s="874"/>
      <c r="B3" s="874"/>
      <c r="D3" s="1312" t="s">
        <v>374</v>
      </c>
      <c r="E3" s="1312"/>
      <c r="F3" s="431" t="e">
        <f>'RT03-F12 @'!I6</f>
        <v>#N/A</v>
      </c>
    </row>
    <row r="4" spans="1:6" ht="20.100000000000001" customHeight="1" x14ac:dyDescent="0.2">
      <c r="A4" s="1314" t="s">
        <v>67</v>
      </c>
      <c r="B4" s="1314"/>
      <c r="C4" s="1314"/>
    </row>
    <row r="5" spans="1:6" ht="15" customHeight="1" x14ac:dyDescent="0.2">
      <c r="A5" s="432"/>
      <c r="B5" s="871"/>
      <c r="C5" s="871"/>
      <c r="D5" s="871"/>
      <c r="E5" s="871"/>
      <c r="F5" s="871"/>
    </row>
    <row r="6" spans="1:6" ht="33" customHeight="1" x14ac:dyDescent="0.2">
      <c r="A6" s="1354" t="s">
        <v>258</v>
      </c>
      <c r="B6" s="1354"/>
      <c r="C6" s="1352" t="e">
        <f>'RT03-F12 @'!G6</f>
        <v>#N/A</v>
      </c>
      <c r="D6" s="1353"/>
      <c r="E6" s="1353"/>
      <c r="F6" s="1353"/>
    </row>
    <row r="7" spans="1:6" ht="23.1" customHeight="1" x14ac:dyDescent="0.2">
      <c r="A7" s="1354" t="s">
        <v>68</v>
      </c>
      <c r="B7" s="1354"/>
      <c r="C7" s="1352" t="e">
        <f>'RT03-F12 @'!H6</f>
        <v>#N/A</v>
      </c>
      <c r="D7" s="1352"/>
      <c r="E7" s="882"/>
      <c r="F7" s="882"/>
    </row>
    <row r="8" spans="1:6" ht="23.1" customHeight="1" x14ac:dyDescent="0.2">
      <c r="A8" s="1354" t="s">
        <v>69</v>
      </c>
      <c r="B8" s="1354"/>
      <c r="C8" s="1352" t="e">
        <f>'RT03-F12 @'!B6</f>
        <v>#N/A</v>
      </c>
      <c r="D8" s="1353"/>
      <c r="E8" s="883"/>
      <c r="F8" s="883"/>
    </row>
    <row r="9" spans="1:6" ht="15" customHeight="1" x14ac:dyDescent="0.2">
      <c r="A9" s="884"/>
      <c r="B9" s="884"/>
      <c r="C9" s="885"/>
      <c r="D9" s="884"/>
      <c r="E9" s="433"/>
      <c r="F9" s="433"/>
    </row>
    <row r="10" spans="1:6" ht="23.1" customHeight="1" x14ac:dyDescent="0.2">
      <c r="A10" s="1354" t="s">
        <v>70</v>
      </c>
      <c r="B10" s="1354"/>
      <c r="C10" s="434" t="e">
        <f>'RT03-F12 @'!C6</f>
        <v>#N/A</v>
      </c>
      <c r="D10" s="1356" t="s">
        <v>72</v>
      </c>
      <c r="E10" s="1356"/>
      <c r="F10" s="434" t="e">
        <f>'RT03-F12 @'!F6</f>
        <v>#N/A</v>
      </c>
    </row>
    <row r="11" spans="1:6" ht="15" customHeight="1" x14ac:dyDescent="0.2">
      <c r="A11" s="884"/>
      <c r="B11" s="884"/>
      <c r="C11" s="434"/>
      <c r="D11" s="887"/>
      <c r="E11" s="887"/>
      <c r="F11" s="434"/>
    </row>
    <row r="12" spans="1:6" ht="20.100000000000001" customHeight="1" x14ac:dyDescent="0.2">
      <c r="A12" s="1314" t="s">
        <v>292</v>
      </c>
      <c r="B12" s="1314"/>
      <c r="C12" s="1314"/>
      <c r="D12" s="1314"/>
      <c r="E12" s="1314"/>
      <c r="F12" s="1314"/>
    </row>
    <row r="13" spans="1:6" ht="12" customHeight="1" x14ac:dyDescent="0.2">
      <c r="A13" s="884"/>
      <c r="B13" s="884"/>
      <c r="C13" s="884"/>
      <c r="D13" s="884"/>
      <c r="E13" s="433"/>
      <c r="F13" s="433"/>
    </row>
    <row r="14" spans="1:6" ht="23.1" customHeight="1" x14ac:dyDescent="0.2">
      <c r="A14" s="435" t="s">
        <v>311</v>
      </c>
      <c r="B14" s="435"/>
      <c r="C14" s="1358"/>
      <c r="D14" s="1358"/>
      <c r="E14" s="433"/>
      <c r="F14" s="433"/>
    </row>
    <row r="15" spans="1:6" ht="23.1" customHeight="1" x14ac:dyDescent="0.2">
      <c r="A15" s="435" t="s">
        <v>312</v>
      </c>
      <c r="B15" s="435"/>
      <c r="C15" s="1354" t="e">
        <f>'RT03-F12 @'!D9</f>
        <v>#N/A</v>
      </c>
      <c r="D15" s="1354"/>
      <c r="E15" s="433"/>
      <c r="F15" s="433"/>
    </row>
    <row r="16" spans="1:6" ht="23.1" customHeight="1" x14ac:dyDescent="0.2">
      <c r="A16" s="1354" t="s">
        <v>476</v>
      </c>
      <c r="B16" s="1354"/>
      <c r="C16" s="1354" t="e">
        <f>'RT03-F12 @'!D11</f>
        <v>#N/A</v>
      </c>
      <c r="D16" s="1354"/>
      <c r="E16" s="1354"/>
      <c r="F16" s="1354"/>
    </row>
    <row r="17" spans="1:6" ht="23.1" customHeight="1" x14ac:dyDescent="0.2">
      <c r="A17" s="435" t="s">
        <v>313</v>
      </c>
      <c r="B17" s="435"/>
      <c r="C17" s="1354" t="e">
        <f>'RT03-F12 @'!D10</f>
        <v>#N/A</v>
      </c>
      <c r="D17" s="1354"/>
      <c r="E17" s="433"/>
      <c r="F17" s="433"/>
    </row>
    <row r="18" spans="1:6" ht="23.1" customHeight="1" x14ac:dyDescent="0.2">
      <c r="A18" s="1354" t="s">
        <v>314</v>
      </c>
      <c r="B18" s="1354"/>
      <c r="C18" s="436" t="e">
        <f>'RT03-F12 @'!D12</f>
        <v>#N/A</v>
      </c>
      <c r="D18" s="884"/>
      <c r="E18" s="437"/>
      <c r="F18" s="884"/>
    </row>
    <row r="19" spans="1:6" ht="23.1" customHeight="1" x14ac:dyDescent="0.2">
      <c r="A19" s="1355" t="s">
        <v>315</v>
      </c>
      <c r="B19" s="1355"/>
      <c r="C19" s="438" t="e">
        <f>'RT03-F12 @'!D13</f>
        <v>#N/A</v>
      </c>
      <c r="D19" s="886"/>
      <c r="E19" s="886"/>
      <c r="F19" s="886"/>
    </row>
    <row r="20" spans="1:6" ht="23.1" customHeight="1" x14ac:dyDescent="0.2">
      <c r="A20" s="1355" t="s">
        <v>316</v>
      </c>
      <c r="B20" s="1355"/>
      <c r="C20" s="439" t="e">
        <f>'RT03-F12 @'!D14</f>
        <v>#N/A</v>
      </c>
      <c r="D20" s="886"/>
      <c r="E20" s="886"/>
      <c r="F20" s="886"/>
    </row>
    <row r="21" spans="1:6" ht="23.1" customHeight="1" x14ac:dyDescent="0.2">
      <c r="A21" s="1355" t="s">
        <v>317</v>
      </c>
      <c r="B21" s="1355"/>
      <c r="C21" s="438" t="e">
        <f>'RT03-F12 @'!D15</f>
        <v>#N/A</v>
      </c>
      <c r="D21" s="886"/>
      <c r="E21" s="886"/>
      <c r="F21" s="886"/>
    </row>
    <row r="22" spans="1:6" ht="12" customHeight="1" x14ac:dyDescent="0.2"/>
    <row r="23" spans="1:6" ht="20.100000000000001" customHeight="1" x14ac:dyDescent="0.2">
      <c r="A23" s="1314" t="s">
        <v>293</v>
      </c>
      <c r="B23" s="1314"/>
      <c r="C23" s="1314"/>
      <c r="D23" s="1314"/>
      <c r="E23" s="1314"/>
      <c r="F23" s="1314"/>
    </row>
    <row r="24" spans="1:6" ht="12" customHeight="1" x14ac:dyDescent="0.2">
      <c r="A24" s="877"/>
      <c r="B24" s="877"/>
      <c r="C24" s="877"/>
      <c r="D24" s="877"/>
      <c r="E24" s="877"/>
      <c r="F24" s="877"/>
    </row>
    <row r="25" spans="1:6" ht="23.1" customHeight="1" x14ac:dyDescent="0.2">
      <c r="A25" s="1305" t="e">
        <f>'RT03-F12 @'!E6</f>
        <v>#N/A</v>
      </c>
      <c r="B25" s="1305"/>
      <c r="C25" s="1305"/>
      <c r="D25" s="1305"/>
      <c r="E25" s="1305"/>
      <c r="F25" s="1305"/>
    </row>
    <row r="26" spans="1:6" ht="12" customHeight="1" x14ac:dyDescent="0.2">
      <c r="A26" s="440"/>
      <c r="B26" s="871"/>
      <c r="C26" s="440"/>
      <c r="D26" s="871"/>
      <c r="E26" s="441"/>
      <c r="F26" s="441"/>
    </row>
    <row r="27" spans="1:6" ht="23.1" customHeight="1" x14ac:dyDescent="0.2">
      <c r="A27" s="1314" t="s">
        <v>294</v>
      </c>
      <c r="B27" s="1314"/>
      <c r="C27" s="1359" t="e">
        <f>'RT03-F12 @'!D6</f>
        <v>#N/A</v>
      </c>
      <c r="D27" s="1359"/>
      <c r="E27" s="1359"/>
      <c r="F27" s="441"/>
    </row>
    <row r="28" spans="1:6" ht="12" customHeight="1" x14ac:dyDescent="0.2">
      <c r="D28" s="442"/>
      <c r="E28" s="871"/>
      <c r="F28" s="871"/>
    </row>
    <row r="29" spans="1:6" ht="20.100000000000001" customHeight="1" x14ac:dyDescent="0.2">
      <c r="A29" s="1338" t="s">
        <v>295</v>
      </c>
      <c r="B29" s="1338"/>
      <c r="C29" s="1338"/>
      <c r="D29" s="1338"/>
      <c r="E29" s="1338"/>
      <c r="F29" s="1338"/>
    </row>
    <row r="30" spans="1:6" ht="15" customHeight="1" x14ac:dyDescent="0.2">
      <c r="A30" s="443"/>
      <c r="B30" s="443"/>
      <c r="C30" s="443"/>
      <c r="D30" s="442"/>
      <c r="E30" s="871"/>
      <c r="F30" s="871"/>
    </row>
    <row r="31" spans="1:6" ht="12" customHeight="1" x14ac:dyDescent="0.2">
      <c r="A31" s="1350" t="s">
        <v>335</v>
      </c>
      <c r="B31" s="1350"/>
      <c r="C31" s="1350"/>
      <c r="D31" s="1350"/>
      <c r="E31" s="1350"/>
      <c r="F31" s="1350"/>
    </row>
    <row r="32" spans="1:6" ht="25.5" customHeight="1" x14ac:dyDescent="0.2">
      <c r="A32" s="1350"/>
      <c r="B32" s="1350"/>
      <c r="C32" s="1350"/>
      <c r="D32" s="1350"/>
      <c r="E32" s="1350"/>
      <c r="F32" s="1350"/>
    </row>
    <row r="33" spans="1:7" ht="15" customHeight="1" x14ac:dyDescent="0.2">
      <c r="A33" s="444"/>
      <c r="B33" s="444"/>
      <c r="C33" s="444"/>
      <c r="D33" s="444"/>
      <c r="E33" s="444"/>
      <c r="F33" s="444"/>
    </row>
    <row r="34" spans="1:7" ht="20.100000000000001" customHeight="1" x14ac:dyDescent="0.2">
      <c r="A34" s="1314" t="s">
        <v>407</v>
      </c>
      <c r="B34" s="1314"/>
      <c r="C34" s="1314"/>
      <c r="D34" s="1314"/>
      <c r="E34" s="1314"/>
      <c r="F34" s="1314"/>
    </row>
    <row r="35" spans="1:7" ht="30" customHeight="1" thickBot="1" x14ac:dyDescent="0.25">
      <c r="A35" s="877"/>
      <c r="B35" s="877"/>
      <c r="C35" s="877"/>
      <c r="D35" s="877"/>
      <c r="F35" s="747"/>
    </row>
    <row r="36" spans="1:7" ht="30" customHeight="1" thickBot="1" x14ac:dyDescent="0.25">
      <c r="C36" s="849" t="s">
        <v>5</v>
      </c>
      <c r="D36" s="849" t="s">
        <v>408</v>
      </c>
      <c r="E36" s="850" t="s">
        <v>4</v>
      </c>
      <c r="F36" s="877"/>
    </row>
    <row r="37" spans="1:7" ht="30" customHeight="1" thickBot="1" x14ac:dyDescent="0.25">
      <c r="A37" s="1294" t="s">
        <v>430</v>
      </c>
      <c r="B37" s="1295"/>
      <c r="C37" s="740" t="e">
        <f>'RT03-F12 @'!E64</f>
        <v>#N/A</v>
      </c>
      <c r="D37" s="738" t="e">
        <f>'RT03-F12 @'!G64</f>
        <v>#N/A</v>
      </c>
      <c r="E37" s="739" t="e">
        <f>'RT03-F12 @'!I64</f>
        <v>#N/A</v>
      </c>
      <c r="F37" s="877"/>
    </row>
    <row r="38" spans="1:7" ht="30" customHeight="1" thickBot="1" x14ac:dyDescent="0.25">
      <c r="A38" s="1294" t="s">
        <v>431</v>
      </c>
      <c r="B38" s="1295"/>
      <c r="C38" s="741" t="e">
        <f>'RT03-F12 @'!E65</f>
        <v>#N/A</v>
      </c>
      <c r="D38" s="742" t="e">
        <f>'RT03-F12 @'!G65</f>
        <v>#N/A</v>
      </c>
      <c r="E38" s="742" t="e">
        <f>'RT03-F12 @'!I65</f>
        <v>#N/A</v>
      </c>
      <c r="F38" s="877"/>
    </row>
    <row r="39" spans="1:7" ht="27.75" customHeight="1" x14ac:dyDescent="0.2">
      <c r="A39" s="1339" t="s">
        <v>461</v>
      </c>
      <c r="B39" s="1339"/>
      <c r="C39" s="1339"/>
      <c r="D39" s="1339"/>
      <c r="E39" s="1339"/>
      <c r="F39" s="1339"/>
    </row>
    <row r="41" spans="1:7" ht="120" customHeight="1" x14ac:dyDescent="0.2">
      <c r="A41" s="1296"/>
      <c r="B41" s="1296"/>
      <c r="C41" s="1296"/>
      <c r="D41" s="1296"/>
      <c r="E41" s="1296"/>
      <c r="F41" s="1296"/>
      <c r="G41" s="775"/>
    </row>
    <row r="42" spans="1:7" ht="18" customHeight="1" x14ac:dyDescent="0.2">
      <c r="A42" s="875"/>
      <c r="B42" s="875"/>
      <c r="C42" s="875"/>
    </row>
    <row r="43" spans="1:7" ht="18" customHeight="1" x14ac:dyDescent="0.2">
      <c r="A43" s="875"/>
      <c r="B43" s="875"/>
      <c r="C43" s="875"/>
      <c r="D43" s="1312" t="s">
        <v>374</v>
      </c>
      <c r="E43" s="1312"/>
      <c r="F43" s="431" t="e">
        <f>F3</f>
        <v>#N/A</v>
      </c>
    </row>
    <row r="44" spans="1:7" ht="20.100000000000001" customHeight="1" x14ac:dyDescent="0.2">
      <c r="A44" s="1318" t="s">
        <v>306</v>
      </c>
      <c r="B44" s="1318"/>
      <c r="C44" s="1318"/>
      <c r="D44" s="1318"/>
      <c r="E44" s="1318"/>
      <c r="F44" s="1318"/>
    </row>
    <row r="45" spans="1:7" ht="12" customHeight="1" x14ac:dyDescent="0.2">
      <c r="A45" s="879"/>
      <c r="B45" s="879"/>
      <c r="C45" s="879"/>
      <c r="D45" s="879"/>
      <c r="E45" s="879"/>
      <c r="F45" s="879"/>
    </row>
    <row r="46" spans="1:7" ht="60" customHeight="1" x14ac:dyDescent="0.2">
      <c r="A46" s="1351" t="s">
        <v>296</v>
      </c>
      <c r="B46" s="1351"/>
      <c r="C46" s="1351"/>
      <c r="D46" s="1351"/>
      <c r="E46" s="1351"/>
      <c r="F46" s="1351"/>
    </row>
    <row r="47" spans="1:7" ht="12" customHeight="1" thickBot="1" x14ac:dyDescent="0.25">
      <c r="A47" s="445"/>
      <c r="B47" s="445"/>
      <c r="C47" s="445"/>
      <c r="D47" s="445"/>
      <c r="E47" s="445"/>
      <c r="F47" s="445"/>
    </row>
    <row r="48" spans="1:7" ht="27.95" customHeight="1" thickBot="1" x14ac:dyDescent="0.25">
      <c r="A48" s="1340" t="s">
        <v>308</v>
      </c>
      <c r="B48" s="1341"/>
      <c r="C48" s="1344" t="e">
        <f>'RT03-F12 @'!I11</f>
        <v>#N/A</v>
      </c>
      <c r="D48" s="1345"/>
      <c r="E48" s="875"/>
      <c r="F48" s="875"/>
    </row>
    <row r="49" spans="1:6" ht="27.95" customHeight="1" thickBot="1" x14ac:dyDescent="0.25">
      <c r="A49" s="1321" t="s">
        <v>307</v>
      </c>
      <c r="B49" s="1322"/>
      <c r="C49" s="1319"/>
      <c r="D49" s="1320"/>
      <c r="E49" s="871"/>
      <c r="F49" s="871"/>
    </row>
    <row r="50" spans="1:6" ht="27.95" customHeight="1" thickBot="1" x14ac:dyDescent="0.25">
      <c r="A50" s="1321" t="s">
        <v>310</v>
      </c>
      <c r="B50" s="1322"/>
      <c r="C50" s="1346" t="e">
        <f>'RT03-F12 @'!I12</f>
        <v>#N/A</v>
      </c>
      <c r="D50" s="1347"/>
      <c r="E50" s="871"/>
      <c r="F50" s="871"/>
    </row>
    <row r="51" spans="1:6" ht="27.95" customHeight="1" thickBot="1" x14ac:dyDescent="0.25">
      <c r="A51" s="1342" t="s">
        <v>188</v>
      </c>
      <c r="B51" s="1343"/>
      <c r="C51" s="1348" t="e">
        <f>'RT03-F12 @'!I13</f>
        <v>#N/A</v>
      </c>
      <c r="D51" s="1349"/>
      <c r="E51" s="871"/>
      <c r="F51" s="871"/>
    </row>
    <row r="52" spans="1:6" ht="27.95" customHeight="1" thickBot="1" x14ac:dyDescent="0.25">
      <c r="A52" s="608" t="s">
        <v>252</v>
      </c>
      <c r="B52" s="608"/>
      <c r="C52" s="1289" t="e">
        <f>'RT03-F12 @'!I15</f>
        <v>#N/A</v>
      </c>
      <c r="D52" s="1290"/>
      <c r="E52" s="871"/>
      <c r="F52" s="871"/>
    </row>
    <row r="53" spans="1:6" ht="30" customHeight="1" thickBot="1" x14ac:dyDescent="0.25">
      <c r="A53" s="1321" t="s">
        <v>309</v>
      </c>
      <c r="B53" s="1322"/>
      <c r="C53" s="1319"/>
      <c r="D53" s="1320"/>
      <c r="E53" s="871"/>
      <c r="F53" s="871"/>
    </row>
    <row r="54" spans="1:6" ht="30" customHeight="1" x14ac:dyDescent="0.2">
      <c r="A54" s="877"/>
      <c r="B54" s="877"/>
      <c r="C54" s="884"/>
      <c r="D54" s="884"/>
      <c r="E54" s="871"/>
      <c r="F54" s="871"/>
    </row>
    <row r="55" spans="1:6" ht="20.100000000000001" customHeight="1" x14ac:dyDescent="0.2">
      <c r="A55" s="1318" t="s">
        <v>297</v>
      </c>
      <c r="B55" s="1318"/>
      <c r="C55" s="1318"/>
      <c r="D55" s="1318"/>
      <c r="E55" s="1318"/>
      <c r="F55" s="1318"/>
    </row>
    <row r="56" spans="1:6" ht="12" customHeight="1" x14ac:dyDescent="0.2">
      <c r="A56" s="875"/>
      <c r="B56" s="875"/>
      <c r="C56" s="875"/>
      <c r="D56" s="875"/>
      <c r="E56" s="875"/>
      <c r="F56" s="875"/>
    </row>
    <row r="57" spans="1:6" ht="20.100000000000001" customHeight="1" x14ac:dyDescent="0.2">
      <c r="A57" s="1307" t="s">
        <v>74</v>
      </c>
      <c r="B57" s="1307"/>
      <c r="C57" s="1307"/>
      <c r="D57" s="875"/>
      <c r="E57" s="619"/>
      <c r="F57" s="875"/>
    </row>
    <row r="58" spans="1:6" ht="12" customHeight="1" thickBot="1" x14ac:dyDescent="0.25">
      <c r="A58" s="875"/>
      <c r="B58" s="875"/>
      <c r="C58" s="875"/>
      <c r="D58" s="871"/>
      <c r="E58" s="871"/>
      <c r="F58" s="871"/>
    </row>
    <row r="59" spans="1:6" ht="27.95" customHeight="1" thickBot="1" x14ac:dyDescent="0.25">
      <c r="A59" s="1291" t="s">
        <v>264</v>
      </c>
      <c r="B59" s="1292"/>
      <c r="C59" s="1293"/>
      <c r="D59" s="875"/>
      <c r="E59" s="875"/>
      <c r="F59" s="875"/>
    </row>
    <row r="60" spans="1:6" ht="27.95" customHeight="1" thickBot="1" x14ac:dyDescent="0.25">
      <c r="A60" s="446" t="str">
        <f>'RT03-F12 @'!C34</f>
        <v>Carga</v>
      </c>
      <c r="B60" s="447">
        <f>'RT03-F12 @'!E34</f>
        <v>0</v>
      </c>
      <c r="C60" s="448" t="str">
        <f>'RT03-F12 @'!D34</f>
        <v>(g)</v>
      </c>
      <c r="D60" s="875"/>
      <c r="E60" s="870" t="s">
        <v>73</v>
      </c>
      <c r="F60" s="875"/>
    </row>
    <row r="61" spans="1:6" ht="27.95" customHeight="1" thickBot="1" x14ac:dyDescent="0.25">
      <c r="A61" s="449" t="str">
        <f>'RT03-F12 @'!B35</f>
        <v>Posición</v>
      </c>
      <c r="B61" s="450" t="str">
        <f>'RT03-F12 @'!B36</f>
        <v>Indicación (g)</v>
      </c>
      <c r="C61" s="451" t="s">
        <v>103</v>
      </c>
      <c r="D61" s="875"/>
      <c r="E61" s="875"/>
      <c r="F61" s="875"/>
    </row>
    <row r="62" spans="1:6" ht="27.95" customHeight="1" x14ac:dyDescent="0.2">
      <c r="A62" s="452">
        <f>'RT03-F12 @'!C35</f>
        <v>1</v>
      </c>
      <c r="B62" s="453">
        <f>'RT03-F12 @'!C36</f>
        <v>0</v>
      </c>
      <c r="C62" s="454">
        <f>'RT03-F12 @'!C37</f>
        <v>0</v>
      </c>
      <c r="D62" s="875"/>
      <c r="F62" s="875"/>
    </row>
    <row r="63" spans="1:6" ht="27.95" customHeight="1" x14ac:dyDescent="0.2">
      <c r="A63" s="455">
        <f>'RT03-F12 @'!D35</f>
        <v>2</v>
      </c>
      <c r="B63" s="456">
        <f>'RT03-F12 @'!D36</f>
        <v>0</v>
      </c>
      <c r="C63" s="457">
        <f>'RT03-F12 @'!D37</f>
        <v>0</v>
      </c>
      <c r="D63" s="875"/>
      <c r="E63" s="875"/>
      <c r="F63" s="875"/>
    </row>
    <row r="64" spans="1:6" ht="27.95" customHeight="1" x14ac:dyDescent="0.2">
      <c r="A64" s="455">
        <f>'RT03-F12 @'!E35</f>
        <v>3</v>
      </c>
      <c r="B64" s="458">
        <f>'RT03-F12 @'!E36</f>
        <v>0</v>
      </c>
      <c r="C64" s="457">
        <f>'RT03-F12 @'!E37</f>
        <v>0</v>
      </c>
      <c r="D64" s="875"/>
      <c r="E64" s="875"/>
      <c r="F64" s="875"/>
    </row>
    <row r="65" spans="1:6" ht="27.95" customHeight="1" x14ac:dyDescent="0.2">
      <c r="A65" s="455">
        <f>'RT03-F12 @'!F35</f>
        <v>4</v>
      </c>
      <c r="B65" s="458">
        <f>'RT03-F12 @'!F36</f>
        <v>0</v>
      </c>
      <c r="C65" s="457">
        <f>'RT03-F12 @'!F37</f>
        <v>0</v>
      </c>
      <c r="D65" s="875"/>
      <c r="E65" s="875"/>
      <c r="F65" s="875"/>
    </row>
    <row r="66" spans="1:6" ht="27.95" customHeight="1" thickBot="1" x14ac:dyDescent="0.25">
      <c r="A66" s="459">
        <f>'RT03-F12 @'!G35</f>
        <v>5</v>
      </c>
      <c r="B66" s="456">
        <f>'RT03-F12 @'!G36</f>
        <v>0</v>
      </c>
      <c r="C66" s="460">
        <f>'RT03-F12 @'!G37</f>
        <v>0</v>
      </c>
      <c r="D66" s="875"/>
      <c r="E66" s="875"/>
      <c r="F66" s="875"/>
    </row>
    <row r="67" spans="1:6" ht="27.95" customHeight="1" thickBot="1" x14ac:dyDescent="0.25">
      <c r="A67" s="1336" t="s">
        <v>298</v>
      </c>
      <c r="B67" s="1337"/>
      <c r="C67" s="461">
        <f>'RT03-F12 @'!C39/1000</f>
        <v>0</v>
      </c>
      <c r="D67" s="875"/>
      <c r="E67" s="875"/>
      <c r="F67" s="875"/>
    </row>
    <row r="68" spans="1:6" ht="12" customHeight="1" x14ac:dyDescent="0.2">
      <c r="A68" s="442"/>
      <c r="B68" s="462"/>
      <c r="C68" s="463"/>
      <c r="D68" s="875"/>
      <c r="E68" s="875"/>
      <c r="F68" s="875"/>
    </row>
    <row r="69" spans="1:6" ht="20.100000000000001" customHeight="1" x14ac:dyDescent="0.2">
      <c r="A69" s="1306" t="s">
        <v>333</v>
      </c>
      <c r="B69" s="1306"/>
      <c r="C69" s="1306"/>
      <c r="D69" s="1306"/>
      <c r="E69" s="1306"/>
      <c r="F69" s="1306"/>
    </row>
    <row r="70" spans="1:6" ht="20.100000000000001" customHeight="1" x14ac:dyDescent="0.2">
      <c r="A70" s="1306"/>
      <c r="B70" s="1306"/>
      <c r="C70" s="1306"/>
      <c r="D70" s="1306"/>
      <c r="E70" s="1306"/>
      <c r="F70" s="1306"/>
    </row>
    <row r="71" spans="1:6" ht="20.100000000000001" customHeight="1" x14ac:dyDescent="0.2">
      <c r="A71" s="1306"/>
      <c r="B71" s="1306"/>
      <c r="C71" s="1306"/>
      <c r="D71" s="1306"/>
      <c r="E71" s="1306"/>
      <c r="F71" s="1306"/>
    </row>
    <row r="72" spans="1:6" ht="20.100000000000001" customHeight="1" x14ac:dyDescent="0.2">
      <c r="A72" s="464"/>
      <c r="B72" s="464"/>
      <c r="C72" s="464"/>
      <c r="D72" s="464"/>
      <c r="E72" s="464"/>
      <c r="F72" s="464"/>
    </row>
    <row r="73" spans="1:6" ht="120" customHeight="1" x14ac:dyDescent="0.2">
      <c r="A73" s="1357"/>
      <c r="B73" s="1357"/>
      <c r="C73" s="1357"/>
      <c r="D73" s="1357"/>
      <c r="E73" s="1357"/>
      <c r="F73" s="1357"/>
    </row>
    <row r="74" spans="1:6" ht="12" customHeight="1" x14ac:dyDescent="0.2">
      <c r="A74" s="888"/>
      <c r="B74" s="888"/>
      <c r="C74" s="888"/>
      <c r="D74" s="888"/>
      <c r="E74" s="888"/>
      <c r="F74" s="888"/>
    </row>
    <row r="75" spans="1:6" ht="18" customHeight="1" x14ac:dyDescent="0.2">
      <c r="A75" s="464"/>
      <c r="B75" s="464"/>
      <c r="C75" s="464"/>
      <c r="D75" s="1312" t="s">
        <v>374</v>
      </c>
      <c r="E75" s="1312"/>
      <c r="F75" s="431" t="e">
        <f>F3</f>
        <v>#N/A</v>
      </c>
    </row>
    <row r="76" spans="1:6" ht="15" customHeight="1" x14ac:dyDescent="0.2">
      <c r="A76" s="1307" t="s">
        <v>76</v>
      </c>
      <c r="B76" s="1307"/>
      <c r="E76" s="442"/>
      <c r="F76" s="442"/>
    </row>
    <row r="77" spans="1:6" ht="12" customHeight="1" thickBot="1" x14ac:dyDescent="0.25">
      <c r="E77" s="442"/>
    </row>
    <row r="78" spans="1:6" ht="15" customHeight="1" thickBot="1" x14ac:dyDescent="0.25">
      <c r="A78" s="1308" t="s">
        <v>265</v>
      </c>
      <c r="B78" s="1309"/>
      <c r="C78" s="1309"/>
      <c r="D78" s="1310"/>
      <c r="E78" s="442"/>
      <c r="F78" s="442"/>
    </row>
    <row r="79" spans="1:6" ht="20.100000000000001" customHeight="1" thickBot="1" x14ac:dyDescent="0.25">
      <c r="A79" s="465" t="str">
        <f>'RT03-F12 @'!A43</f>
        <v>Cargas (g)</v>
      </c>
      <c r="B79" s="466">
        <f>'RT03-F12 @'!A44</f>
        <v>0</v>
      </c>
      <c r="C79" s="466">
        <f>'RT03-F12 @'!A45</f>
        <v>0</v>
      </c>
      <c r="D79" s="467">
        <f>'RT03-F12 @'!A46</f>
        <v>0</v>
      </c>
      <c r="E79" s="442"/>
      <c r="F79" s="442"/>
    </row>
    <row r="80" spans="1:6" ht="30" customHeight="1" thickBot="1" x14ac:dyDescent="0.25">
      <c r="A80" s="468" t="s">
        <v>268</v>
      </c>
      <c r="B80" s="468" t="s">
        <v>75</v>
      </c>
      <c r="C80" s="468" t="s">
        <v>75</v>
      </c>
      <c r="D80" s="468" t="s">
        <v>75</v>
      </c>
      <c r="E80" s="442"/>
      <c r="F80" s="442"/>
    </row>
    <row r="81" spans="1:6" ht="18.95" customHeight="1" x14ac:dyDescent="0.2">
      <c r="A81" s="452">
        <f>'RT03-F12 @'!B43</f>
        <v>1</v>
      </c>
      <c r="B81" s="453">
        <f>'RT03-F12 @'!B44</f>
        <v>0</v>
      </c>
      <c r="C81" s="453">
        <f>'RT03-F12 @'!B45</f>
        <v>0</v>
      </c>
      <c r="D81" s="469">
        <f>'RT03-F12 @'!B46</f>
        <v>0</v>
      </c>
      <c r="E81" s="442"/>
      <c r="F81" s="442"/>
    </row>
    <row r="82" spans="1:6" ht="18.95" customHeight="1" x14ac:dyDescent="0.2">
      <c r="A82" s="455">
        <f>'RT03-F12 @'!C43</f>
        <v>2</v>
      </c>
      <c r="B82" s="458">
        <f>'RT03-F12 @'!C44</f>
        <v>0</v>
      </c>
      <c r="C82" s="458">
        <f>'RT03-F12 @'!C45</f>
        <v>0</v>
      </c>
      <c r="D82" s="470">
        <f>'RT03-F12 @'!C46</f>
        <v>0</v>
      </c>
      <c r="E82" s="442"/>
      <c r="F82" s="442"/>
    </row>
    <row r="83" spans="1:6" ht="18.95" customHeight="1" x14ac:dyDescent="0.2">
      <c r="A83" s="455">
        <f>'RT03-F12 @'!D43</f>
        <v>3</v>
      </c>
      <c r="B83" s="458">
        <f>'RT03-F12 @'!D44</f>
        <v>0</v>
      </c>
      <c r="C83" s="458">
        <f>'RT03-F12 @'!D45</f>
        <v>0</v>
      </c>
      <c r="D83" s="470">
        <f>'RT03-F12 @'!D46</f>
        <v>0</v>
      </c>
      <c r="E83" s="442"/>
      <c r="F83" s="442"/>
    </row>
    <row r="84" spans="1:6" ht="18.95" customHeight="1" x14ac:dyDescent="0.2">
      <c r="A84" s="455">
        <f>'RT03-F12 @'!E43</f>
        <v>4</v>
      </c>
      <c r="B84" s="458">
        <f>'RT03-F12 @'!E44</f>
        <v>0</v>
      </c>
      <c r="C84" s="458">
        <f>'RT03-F12 @'!E45</f>
        <v>0</v>
      </c>
      <c r="D84" s="470">
        <f>'RT03-F12 @'!E46</f>
        <v>0</v>
      </c>
      <c r="E84" s="442"/>
      <c r="F84" s="442"/>
    </row>
    <row r="85" spans="1:6" ht="18.95" customHeight="1" x14ac:dyDescent="0.2">
      <c r="A85" s="455">
        <f>'RT03-F12 @'!F43</f>
        <v>5</v>
      </c>
      <c r="B85" s="458">
        <f>'RT03-F12 @'!F44</f>
        <v>0</v>
      </c>
      <c r="C85" s="458">
        <f>'RT03-F12 @'!F45</f>
        <v>0</v>
      </c>
      <c r="D85" s="470">
        <f>'RT03-F12 @'!F46</f>
        <v>0</v>
      </c>
      <c r="E85" s="442"/>
      <c r="F85" s="442"/>
    </row>
    <row r="86" spans="1:6" ht="18.95" customHeight="1" x14ac:dyDescent="0.2">
      <c r="A86" s="455">
        <f>'RT03-F12 @'!G43</f>
        <v>6</v>
      </c>
      <c r="B86" s="458">
        <f>'RT03-F12 @'!G44</f>
        <v>0</v>
      </c>
      <c r="C86" s="458">
        <f>'RT03-F12 @'!G45</f>
        <v>0</v>
      </c>
      <c r="D86" s="470">
        <f>'RT03-F12 @'!G46</f>
        <v>0</v>
      </c>
      <c r="E86" s="442"/>
      <c r="F86" s="442"/>
    </row>
    <row r="87" spans="1:6" ht="18.95" customHeight="1" x14ac:dyDescent="0.2">
      <c r="A87" s="455">
        <f>'RT03-F12 @'!H43</f>
        <v>7</v>
      </c>
      <c r="B87" s="458">
        <f>'RT03-F12 @'!H44</f>
        <v>0</v>
      </c>
      <c r="C87" s="458">
        <f>'RT03-F12 @'!H45</f>
        <v>0</v>
      </c>
      <c r="D87" s="470">
        <f>'RT03-F12 @'!H46</f>
        <v>0</v>
      </c>
      <c r="E87" s="442"/>
      <c r="F87" s="442"/>
    </row>
    <row r="88" spans="1:6" ht="18.95" customHeight="1" x14ac:dyDescent="0.2">
      <c r="A88" s="455">
        <f>'RT03-F12 @'!I43</f>
        <v>8</v>
      </c>
      <c r="B88" s="458">
        <f>'RT03-F12 @'!I44</f>
        <v>0</v>
      </c>
      <c r="C88" s="458">
        <f>'RT03-F12 @'!I45</f>
        <v>0</v>
      </c>
      <c r="D88" s="470">
        <f>'RT03-F12 @'!I46</f>
        <v>0</v>
      </c>
      <c r="E88" s="442"/>
      <c r="F88" s="442"/>
    </row>
    <row r="89" spans="1:6" ht="18.95" customHeight="1" x14ac:dyDescent="0.2">
      <c r="A89" s="455">
        <f>'RT03-F12 @'!J43</f>
        <v>9</v>
      </c>
      <c r="B89" s="458">
        <f>'RT03-F12 @'!J44</f>
        <v>0</v>
      </c>
      <c r="C89" s="458">
        <f>'RT03-F12 @'!J45</f>
        <v>0</v>
      </c>
      <c r="D89" s="470">
        <f>'RT03-F12 @'!J46</f>
        <v>0</v>
      </c>
      <c r="E89" s="442"/>
      <c r="F89" s="442"/>
    </row>
    <row r="90" spans="1:6" ht="18.95" customHeight="1" thickBot="1" x14ac:dyDescent="0.25">
      <c r="A90" s="471">
        <f>'RT03-F12 @'!K43</f>
        <v>10</v>
      </c>
      <c r="B90" s="472">
        <f>'RT03-F12 @'!K44</f>
        <v>0</v>
      </c>
      <c r="C90" s="472">
        <f>'RT03-F12 @'!K45</f>
        <v>0</v>
      </c>
      <c r="D90" s="473">
        <f>'RT03-F12 @'!K46</f>
        <v>0</v>
      </c>
      <c r="E90" s="875"/>
      <c r="F90" s="875"/>
    </row>
    <row r="91" spans="1:6" ht="12" customHeight="1" x14ac:dyDescent="0.2">
      <c r="A91" s="871"/>
      <c r="B91" s="871"/>
      <c r="C91" s="871"/>
      <c r="D91" s="875"/>
      <c r="E91" s="875"/>
      <c r="F91" s="875"/>
    </row>
    <row r="92" spans="1:6" ht="60" customHeight="1" x14ac:dyDescent="0.2">
      <c r="A92" s="1311" t="s">
        <v>262</v>
      </c>
      <c r="B92" s="1311"/>
      <c r="C92" s="1311"/>
      <c r="D92" s="1311"/>
      <c r="E92" s="1311"/>
      <c r="F92" s="1311"/>
    </row>
    <row r="93" spans="1:6" ht="12" customHeight="1" x14ac:dyDescent="0.2">
      <c r="E93" s="875"/>
      <c r="F93" s="875"/>
    </row>
    <row r="94" spans="1:6" ht="15" customHeight="1" x14ac:dyDescent="0.2">
      <c r="A94" s="1307" t="s">
        <v>266</v>
      </c>
      <c r="B94" s="1307"/>
      <c r="C94" s="1307"/>
      <c r="D94" s="1307"/>
      <c r="E94" s="871"/>
      <c r="F94" s="871"/>
    </row>
    <row r="95" spans="1:6" ht="12" customHeight="1" thickBot="1" x14ac:dyDescent="0.25">
      <c r="D95" s="68"/>
    </row>
    <row r="96" spans="1:6" ht="15" customHeight="1" thickBot="1" x14ac:dyDescent="0.25">
      <c r="A96" s="1329" t="s">
        <v>261</v>
      </c>
      <c r="B96" s="1330"/>
      <c r="C96" s="1331"/>
      <c r="D96" s="859" t="s">
        <v>413</v>
      </c>
      <c r="E96" s="859" t="s">
        <v>435</v>
      </c>
      <c r="F96" s="859" t="s">
        <v>436</v>
      </c>
    </row>
    <row r="97" spans="1:6" ht="39.950000000000003" customHeight="1" thickBot="1" x14ac:dyDescent="0.25">
      <c r="A97" s="762" t="s">
        <v>413</v>
      </c>
      <c r="B97" s="758" t="s">
        <v>285</v>
      </c>
      <c r="C97" s="862" t="s">
        <v>284</v>
      </c>
      <c r="D97" s="859">
        <v>5</v>
      </c>
      <c r="E97" s="859">
        <v>1</v>
      </c>
      <c r="F97" s="859">
        <v>-1</v>
      </c>
    </row>
    <row r="98" spans="1:6" ht="17.100000000000001" customHeight="1" x14ac:dyDescent="0.2">
      <c r="A98" s="763" t="e">
        <f>'RT03-F12 @'!K93</f>
        <v>#N/A</v>
      </c>
      <c r="B98" s="759">
        <f>'RT03-F12 @'!C55</f>
        <v>0</v>
      </c>
      <c r="C98" s="863" t="e">
        <f>'RT03-F12 @'!D55</f>
        <v>#N/A</v>
      </c>
      <c r="D98" s="859">
        <v>1000</v>
      </c>
      <c r="E98" s="859">
        <v>1</v>
      </c>
      <c r="F98" s="859">
        <v>-1</v>
      </c>
    </row>
    <row r="99" spans="1:6" ht="17.100000000000001" customHeight="1" x14ac:dyDescent="0.2">
      <c r="A99" s="764" t="e">
        <f>'RT03-F12 @'!K94</f>
        <v>#N/A</v>
      </c>
      <c r="B99" s="760">
        <f>'RT03-F12 @'!C56</f>
        <v>0</v>
      </c>
      <c r="C99" s="864" t="e">
        <f>'RT03-F12 @'!D56</f>
        <v>#N/A</v>
      </c>
      <c r="D99" s="859">
        <v>2000</v>
      </c>
      <c r="E99" s="859">
        <v>1</v>
      </c>
      <c r="F99" s="859">
        <v>-1</v>
      </c>
    </row>
    <row r="100" spans="1:6" ht="17.100000000000001" customHeight="1" x14ac:dyDescent="0.2">
      <c r="A100" s="764" t="e">
        <f>'RT03-F12 @'!K95</f>
        <v>#N/A</v>
      </c>
      <c r="B100" s="760">
        <f>'RT03-F12 @'!C57</f>
        <v>0</v>
      </c>
      <c r="C100" s="864" t="e">
        <f>'RT03-F12 @'!D57</f>
        <v>#N/A</v>
      </c>
      <c r="D100" s="859">
        <v>5000</v>
      </c>
      <c r="E100" s="859">
        <v>1</v>
      </c>
      <c r="F100" s="859">
        <v>-1</v>
      </c>
    </row>
    <row r="101" spans="1:6" ht="17.100000000000001" customHeight="1" x14ac:dyDescent="0.2">
      <c r="A101" s="764" t="e">
        <f>'RT03-F12 @'!K96</f>
        <v>#N/A</v>
      </c>
      <c r="B101" s="760">
        <f>'RT03-F12 @'!C58</f>
        <v>0</v>
      </c>
      <c r="C101" s="864" t="e">
        <f>'RT03-F12 @'!D58</f>
        <v>#N/A</v>
      </c>
      <c r="D101" s="859">
        <v>5000</v>
      </c>
      <c r="E101" s="859">
        <v>2</v>
      </c>
      <c r="F101" s="859">
        <v>-2</v>
      </c>
    </row>
    <row r="102" spans="1:6" ht="17.100000000000001" customHeight="1" thickBot="1" x14ac:dyDescent="0.25">
      <c r="A102" s="765" t="e">
        <f>'RT03-F12 @'!K97</f>
        <v>#N/A</v>
      </c>
      <c r="B102" s="761">
        <f>'RT03-F12 @'!C59</f>
        <v>0</v>
      </c>
      <c r="C102" s="865" t="e">
        <f>'RT03-F12 @'!D59</f>
        <v>#N/A</v>
      </c>
      <c r="D102" s="859">
        <v>8200</v>
      </c>
      <c r="E102" s="859">
        <v>2</v>
      </c>
      <c r="F102" s="859">
        <v>-2</v>
      </c>
    </row>
    <row r="103" spans="1:6" ht="15.95" customHeight="1" thickBot="1" x14ac:dyDescent="0.25">
      <c r="A103" s="474"/>
      <c r="B103" s="474"/>
      <c r="C103" s="474"/>
      <c r="D103" s="860"/>
      <c r="E103" s="860"/>
      <c r="F103" s="861"/>
    </row>
    <row r="104" spans="1:6" ht="15.95" customHeight="1" thickBot="1" x14ac:dyDescent="0.25">
      <c r="A104" s="1332" t="s">
        <v>263</v>
      </c>
      <c r="B104" s="1333"/>
      <c r="C104" s="1334"/>
      <c r="D104" s="475" t="s">
        <v>367</v>
      </c>
      <c r="E104" s="871"/>
      <c r="F104" s="474"/>
    </row>
    <row r="105" spans="1:6" ht="16.5" thickBot="1" x14ac:dyDescent="0.25">
      <c r="A105" s="762" t="s">
        <v>413</v>
      </c>
      <c r="B105" s="768" t="s">
        <v>220</v>
      </c>
      <c r="C105" s="769" t="s">
        <v>305</v>
      </c>
      <c r="D105" s="772" t="s">
        <v>368</v>
      </c>
      <c r="E105" s="871"/>
      <c r="F105" s="474"/>
    </row>
    <row r="106" spans="1:6" ht="15.95" customHeight="1" x14ac:dyDescent="0.2">
      <c r="A106" s="792" t="e">
        <f>'RT03-F12 @'!K93</f>
        <v>#N/A</v>
      </c>
      <c r="B106" s="776" t="e">
        <f>'RT03-F12 @'!M93</f>
        <v>#DIV/0!</v>
      </c>
      <c r="C106" s="770" t="e">
        <f>'RT03-F12 @'!O93</f>
        <v>#DIV/0!</v>
      </c>
      <c r="D106" s="773" t="e">
        <f>IF(ABS(B106)+C106&gt;=(($C$113)),"NO","SI")</f>
        <v>#DIV/0!</v>
      </c>
      <c r="E106" s="871"/>
      <c r="F106" s="474"/>
    </row>
    <row r="107" spans="1:6" ht="15.95" customHeight="1" x14ac:dyDescent="0.2">
      <c r="A107" s="766" t="e">
        <f>'RT03-F12 @'!K94</f>
        <v>#N/A</v>
      </c>
      <c r="B107" s="776" t="e">
        <f>'RT03-F12 @'!M94</f>
        <v>#DIV/0!</v>
      </c>
      <c r="C107" s="770" t="e">
        <f>'RT03-F12 @'!O94</f>
        <v>#DIV/0!</v>
      </c>
      <c r="D107" s="773" t="e">
        <f t="shared" ref="D107:D109" si="0">IF(ABS(B107)+C107&gt;=(($C$113)),"NO","SI")</f>
        <v>#DIV/0!</v>
      </c>
      <c r="E107" s="871"/>
      <c r="F107" s="474"/>
    </row>
    <row r="108" spans="1:6" ht="15.95" customHeight="1" x14ac:dyDescent="0.2">
      <c r="A108" s="766" t="e">
        <f>'RT03-F12 @'!K95</f>
        <v>#N/A</v>
      </c>
      <c r="B108" s="776" t="e">
        <f>'RT03-F12 @'!M95</f>
        <v>#DIV/0!</v>
      </c>
      <c r="C108" s="770" t="e">
        <f>'RT03-F12 @'!O95</f>
        <v>#DIV/0!</v>
      </c>
      <c r="D108" s="773" t="e">
        <f t="shared" si="0"/>
        <v>#DIV/0!</v>
      </c>
      <c r="E108" s="871"/>
      <c r="F108" s="474"/>
    </row>
    <row r="109" spans="1:6" ht="15.95" customHeight="1" x14ac:dyDescent="0.2">
      <c r="A109" s="766" t="e">
        <f>'RT03-F12 @'!K96</f>
        <v>#N/A</v>
      </c>
      <c r="B109" s="776" t="e">
        <f>'RT03-F12 @'!M96</f>
        <v>#DIV/0!</v>
      </c>
      <c r="C109" s="770" t="e">
        <f>'RT03-F12 @'!O96</f>
        <v>#DIV/0!</v>
      </c>
      <c r="D109" s="773" t="e">
        <f t="shared" si="0"/>
        <v>#DIV/0!</v>
      </c>
      <c r="E109" s="871"/>
      <c r="F109" s="474"/>
    </row>
    <row r="110" spans="1:6" ht="15.95" customHeight="1" thickBot="1" x14ac:dyDescent="0.25">
      <c r="A110" s="767" t="e">
        <f>'RT03-F12 @'!K97</f>
        <v>#N/A</v>
      </c>
      <c r="B110" s="777" t="e">
        <f>'RT03-F12 @'!M97</f>
        <v>#DIV/0!</v>
      </c>
      <c r="C110" s="771" t="e">
        <f>'RT03-F12 @'!O97</f>
        <v>#DIV/0!</v>
      </c>
      <c r="D110" s="774" t="e">
        <f>IF(ABS(B110)+C110&gt;=(($C$114)),"NO","SI")</f>
        <v>#DIV/0!</v>
      </c>
      <c r="E110" s="871"/>
      <c r="F110" s="474"/>
    </row>
    <row r="111" spans="1:6" ht="15.95" customHeight="1" thickBot="1" x14ac:dyDescent="0.25">
      <c r="A111" s="880"/>
      <c r="B111" s="463"/>
      <c r="C111" s="463"/>
      <c r="D111" s="442"/>
      <c r="E111" s="476"/>
      <c r="F111" s="442"/>
    </row>
    <row r="112" spans="1:6" ht="15.95" customHeight="1" thickBot="1" x14ac:dyDescent="0.25">
      <c r="A112" s="477" t="s">
        <v>363</v>
      </c>
      <c r="B112" s="478" t="s">
        <v>364</v>
      </c>
      <c r="C112" s="479" t="s">
        <v>384</v>
      </c>
      <c r="D112" s="442"/>
      <c r="E112" s="476"/>
      <c r="F112" s="442"/>
    </row>
    <row r="113" spans="1:6" ht="15.95" customHeight="1" x14ac:dyDescent="0.2">
      <c r="A113" s="851" t="s">
        <v>365</v>
      </c>
      <c r="B113" s="852" t="s">
        <v>458</v>
      </c>
      <c r="C113" s="853">
        <v>1</v>
      </c>
      <c r="D113" s="442"/>
      <c r="E113" s="476"/>
      <c r="F113" s="442"/>
    </row>
    <row r="114" spans="1:6" ht="30" customHeight="1" thickBot="1" x14ac:dyDescent="0.25">
      <c r="A114" s="854" t="s">
        <v>373</v>
      </c>
      <c r="B114" s="855" t="s">
        <v>459</v>
      </c>
      <c r="C114" s="856">
        <v>2</v>
      </c>
      <c r="D114" s="442"/>
      <c r="E114" s="476"/>
      <c r="F114" s="442"/>
    </row>
    <row r="115" spans="1:6" ht="15.95" customHeight="1" x14ac:dyDescent="0.2">
      <c r="A115" s="442"/>
      <c r="B115" s="442"/>
      <c r="C115" s="442"/>
      <c r="D115" s="442"/>
      <c r="E115" s="476"/>
      <c r="F115" s="442"/>
    </row>
    <row r="116" spans="1:6" ht="22.5" customHeight="1" x14ac:dyDescent="0.2">
      <c r="A116" s="442"/>
      <c r="B116" s="442"/>
      <c r="C116" s="442"/>
      <c r="D116" s="442"/>
      <c r="E116" s="476"/>
      <c r="F116" s="442"/>
    </row>
    <row r="117" spans="1:6" ht="18" customHeight="1" x14ac:dyDescent="0.2">
      <c r="A117" s="880"/>
      <c r="B117" s="463"/>
      <c r="C117" s="463"/>
    </row>
    <row r="118" spans="1:6" ht="120" customHeight="1" x14ac:dyDescent="0.2">
      <c r="A118" s="1335"/>
      <c r="B118" s="1335"/>
      <c r="C118" s="1335"/>
      <c r="D118" s="1335"/>
      <c r="E118" s="1335"/>
      <c r="F118" s="1335"/>
    </row>
    <row r="119" spans="1:6" ht="18" customHeight="1" x14ac:dyDescent="0.2">
      <c r="A119" s="880"/>
      <c r="B119" s="463"/>
      <c r="C119" s="463"/>
      <c r="D119" s="1312" t="s">
        <v>374</v>
      </c>
      <c r="E119" s="1312"/>
      <c r="F119" s="431" t="e">
        <f>F3</f>
        <v>#N/A</v>
      </c>
    </row>
    <row r="120" spans="1:6" ht="18" customHeight="1" x14ac:dyDescent="0.2">
      <c r="A120" s="880"/>
      <c r="B120" s="463"/>
      <c r="C120" s="463"/>
      <c r="D120" s="876"/>
      <c r="E120" s="876"/>
      <c r="F120" s="480"/>
    </row>
    <row r="121" spans="1:6" ht="20.100000000000001" customHeight="1" x14ac:dyDescent="0.2">
      <c r="A121" s="62"/>
      <c r="B121" s="463"/>
      <c r="C121" s="463"/>
      <c r="D121" s="442"/>
      <c r="E121" s="476"/>
      <c r="F121" s="442"/>
    </row>
    <row r="122" spans="1:6" ht="15" customHeight="1" x14ac:dyDescent="0.2">
      <c r="A122" s="474"/>
      <c r="B122" s="463"/>
      <c r="C122" s="463"/>
      <c r="D122" s="871"/>
      <c r="E122" s="871"/>
      <c r="F122" s="871"/>
    </row>
    <row r="123" spans="1:6" ht="15" customHeight="1" x14ac:dyDescent="0.2">
      <c r="A123" s="442"/>
      <c r="B123" s="481"/>
      <c r="C123" s="442"/>
      <c r="D123" s="442"/>
      <c r="E123" s="442"/>
      <c r="F123" s="442"/>
    </row>
    <row r="124" spans="1:6" ht="15" customHeight="1" x14ac:dyDescent="0.2">
      <c r="A124" s="442"/>
      <c r="B124" s="442"/>
      <c r="C124" s="442"/>
      <c r="D124" s="442"/>
      <c r="E124" s="442"/>
      <c r="F124" s="442"/>
    </row>
    <row r="125" spans="1:6" ht="15" customHeight="1" x14ac:dyDescent="0.2">
      <c r="A125" s="442"/>
      <c r="B125" s="442"/>
      <c r="C125" s="442"/>
      <c r="D125" s="442"/>
      <c r="E125" s="442"/>
      <c r="F125" s="442"/>
    </row>
    <row r="126" spans="1:6" ht="15" customHeight="1" x14ac:dyDescent="0.2">
      <c r="A126" s="442"/>
      <c r="B126" s="442"/>
      <c r="C126" s="442"/>
      <c r="D126" s="442"/>
      <c r="E126" s="442"/>
      <c r="F126" s="442"/>
    </row>
    <row r="127" spans="1:6" ht="15" customHeight="1" x14ac:dyDescent="0.2">
      <c r="A127" s="442"/>
      <c r="B127" s="442"/>
      <c r="C127" s="442"/>
      <c r="D127" s="442"/>
      <c r="E127" s="442"/>
      <c r="F127" s="442"/>
    </row>
    <row r="128" spans="1:6" ht="15" customHeight="1" x14ac:dyDescent="0.2">
      <c r="A128" s="442"/>
      <c r="B128" s="442"/>
      <c r="C128" s="442"/>
      <c r="D128" s="442"/>
      <c r="E128" s="442"/>
      <c r="F128" s="442"/>
    </row>
    <row r="129" spans="1:6" ht="15" customHeight="1" x14ac:dyDescent="0.2">
      <c r="A129" s="442"/>
      <c r="B129" s="442"/>
      <c r="C129" s="442"/>
      <c r="D129" s="442"/>
      <c r="E129" s="442"/>
      <c r="F129" s="442"/>
    </row>
    <row r="130" spans="1:6" ht="15" customHeight="1" x14ac:dyDescent="0.2">
      <c r="A130" s="442"/>
      <c r="B130" s="442"/>
      <c r="C130" s="442"/>
      <c r="D130" s="442"/>
      <c r="E130" s="442"/>
      <c r="F130" s="442"/>
    </row>
    <row r="131" spans="1:6" ht="15" customHeight="1" x14ac:dyDescent="0.2">
      <c r="A131" s="442"/>
      <c r="B131" s="442"/>
      <c r="C131" s="442"/>
      <c r="D131" s="442"/>
      <c r="E131" s="442"/>
      <c r="F131" s="442"/>
    </row>
    <row r="132" spans="1:6" ht="15" customHeight="1" x14ac:dyDescent="0.2">
      <c r="A132" s="442"/>
      <c r="B132" s="442"/>
      <c r="C132" s="442"/>
      <c r="D132" s="442"/>
      <c r="E132" s="442"/>
      <c r="F132" s="442"/>
    </row>
    <row r="133" spans="1:6" ht="15" customHeight="1" x14ac:dyDescent="0.2">
      <c r="A133" s="442"/>
      <c r="B133" s="442"/>
      <c r="C133" s="442"/>
      <c r="D133" s="442"/>
      <c r="E133" s="442"/>
      <c r="F133" s="442"/>
    </row>
    <row r="134" spans="1:6" ht="15" customHeight="1" x14ac:dyDescent="0.2">
      <c r="A134" s="442"/>
      <c r="B134" s="442"/>
      <c r="C134" s="442"/>
      <c r="D134" s="442"/>
      <c r="E134" s="442"/>
      <c r="F134" s="442"/>
    </row>
    <row r="135" spans="1:6" ht="15" customHeight="1" x14ac:dyDescent="0.2">
      <c r="D135" s="871"/>
      <c r="E135" s="871"/>
      <c r="F135" s="871"/>
    </row>
    <row r="136" spans="1:6" ht="15" customHeight="1" x14ac:dyDescent="0.2">
      <c r="A136" s="871"/>
      <c r="B136" s="871"/>
      <c r="C136" s="871"/>
      <c r="D136" s="871"/>
      <c r="E136" s="871"/>
      <c r="F136" s="871"/>
    </row>
    <row r="137" spans="1:6" ht="15" customHeight="1" x14ac:dyDescent="0.2">
      <c r="A137" s="871"/>
      <c r="B137" s="871"/>
      <c r="C137" s="871"/>
      <c r="D137" s="871"/>
      <c r="E137" s="871"/>
      <c r="F137" s="871"/>
    </row>
    <row r="138" spans="1:6" ht="15" customHeight="1" x14ac:dyDescent="0.2">
      <c r="A138" s="871"/>
      <c r="B138" s="871"/>
      <c r="C138" s="871"/>
      <c r="D138" s="871"/>
      <c r="E138" s="871"/>
      <c r="F138" s="871"/>
    </row>
    <row r="139" spans="1:6" ht="60" customHeight="1" x14ac:dyDescent="0.2">
      <c r="A139" s="1316" t="s">
        <v>366</v>
      </c>
      <c r="B139" s="1316"/>
      <c r="C139" s="1316"/>
      <c r="D139" s="1316"/>
      <c r="E139" s="1316"/>
      <c r="F139" s="1316"/>
    </row>
    <row r="140" spans="1:6" ht="15" customHeight="1" x14ac:dyDescent="0.2">
      <c r="A140" s="482"/>
      <c r="B140" s="482"/>
      <c r="C140" s="482"/>
      <c r="D140" s="482"/>
      <c r="E140" s="482"/>
      <c r="F140" s="482"/>
    </row>
    <row r="141" spans="1:6" ht="20.100000000000001" customHeight="1" x14ac:dyDescent="0.2">
      <c r="A141" s="1307"/>
      <c r="B141" s="1307"/>
      <c r="C141" s="1307"/>
      <c r="D141" s="871"/>
      <c r="E141" s="871"/>
      <c r="F141" s="871"/>
    </row>
    <row r="142" spans="1:6" ht="20.100000000000001" customHeight="1" x14ac:dyDescent="0.2">
      <c r="A142" s="1314" t="s">
        <v>299</v>
      </c>
      <c r="B142" s="1314"/>
      <c r="C142" s="1314"/>
      <c r="D142" s="1314"/>
      <c r="E142" s="1314"/>
      <c r="F142" s="871"/>
    </row>
    <row r="143" spans="1:6" ht="12" customHeight="1" x14ac:dyDescent="0.2">
      <c r="A143" s="881"/>
      <c r="B143" s="441"/>
      <c r="C143" s="441"/>
      <c r="D143" s="441"/>
      <c r="E143" s="441"/>
      <c r="F143" s="871"/>
    </row>
    <row r="144" spans="1:6" ht="23.1" customHeight="1" x14ac:dyDescent="0.2">
      <c r="A144" s="1313" t="s">
        <v>440</v>
      </c>
      <c r="B144" s="1313"/>
      <c r="C144" s="1313"/>
      <c r="D144" s="1313"/>
      <c r="E144" s="1313"/>
      <c r="F144" s="1313"/>
    </row>
    <row r="145" spans="1:9" ht="23.1" customHeight="1" x14ac:dyDescent="0.2">
      <c r="A145" s="1313"/>
      <c r="B145" s="1313"/>
      <c r="C145" s="1313"/>
      <c r="D145" s="1313"/>
      <c r="E145" s="1313"/>
      <c r="F145" s="1313"/>
    </row>
    <row r="146" spans="1:9" ht="20.100000000000001" customHeight="1" thickBot="1" x14ac:dyDescent="0.25">
      <c r="A146" s="881"/>
      <c r="B146" s="441"/>
      <c r="C146" s="441"/>
      <c r="D146" s="441"/>
      <c r="E146" s="441"/>
      <c r="F146" s="441"/>
    </row>
    <row r="147" spans="1:9" ht="30.75" customHeight="1" thickBot="1" x14ac:dyDescent="0.25">
      <c r="A147" s="1323" t="s">
        <v>460</v>
      </c>
      <c r="B147" s="1324"/>
      <c r="C147" s="1324"/>
      <c r="D147" s="1324"/>
      <c r="E147" s="1324"/>
      <c r="F147" s="1325"/>
    </row>
    <row r="148" spans="1:9" ht="18" customHeight="1" thickBot="1" x14ac:dyDescent="0.25">
      <c r="G148" s="617"/>
    </row>
    <row r="149" spans="1:9" ht="18" customHeight="1" thickBot="1" x14ac:dyDescent="0.25">
      <c r="A149" s="780"/>
      <c r="B149" s="857" t="s">
        <v>250</v>
      </c>
      <c r="C149" s="799" t="e">
        <f>'RT03-F12 @'!F141</f>
        <v>#DIV/0!</v>
      </c>
      <c r="D149" s="800" t="s">
        <v>62</v>
      </c>
      <c r="E149" s="797"/>
      <c r="F149" s="618"/>
      <c r="G149" s="617"/>
    </row>
    <row r="150" spans="1:9" ht="24.75" customHeight="1" thickBot="1" x14ac:dyDescent="0.25">
      <c r="E150" s="796"/>
      <c r="F150" s="796"/>
      <c r="G150" s="617"/>
    </row>
    <row r="151" spans="1:9" ht="30.75" customHeight="1" thickBot="1" x14ac:dyDescent="0.25">
      <c r="A151" s="1326" t="s">
        <v>59</v>
      </c>
      <c r="B151" s="1327"/>
      <c r="C151" s="1327"/>
      <c r="D151" s="1327"/>
      <c r="E151" s="1327"/>
      <c r="F151" s="1328"/>
      <c r="G151" s="617"/>
    </row>
    <row r="152" spans="1:9" ht="20.100000000000001" customHeight="1" thickBot="1" x14ac:dyDescent="0.25">
      <c r="A152" s="779"/>
      <c r="B152" s="779"/>
      <c r="C152" s="779"/>
      <c r="D152" s="779"/>
      <c r="E152" s="781"/>
      <c r="F152" s="782"/>
      <c r="G152" s="617"/>
    </row>
    <row r="153" spans="1:9" ht="20.100000000000001" customHeight="1" thickBot="1" x14ac:dyDescent="0.25">
      <c r="A153" s="785" t="s">
        <v>301</v>
      </c>
      <c r="B153" s="866" t="e">
        <f>IF('RT03-F12 @'!M141&lt;=('DATOS @ '!H157),"0,078",'RT03-F12 @'!M141)</f>
        <v>#DIV/0!</v>
      </c>
      <c r="C153" s="867" t="s">
        <v>267</v>
      </c>
      <c r="D153" s="868" t="e">
        <f>'RT03-F12 @'!O141</f>
        <v>#DIV/0!</v>
      </c>
      <c r="E153" s="866" t="s">
        <v>62</v>
      </c>
      <c r="F153" s="869"/>
      <c r="G153" s="635"/>
      <c r="H153" s="483"/>
      <c r="I153" s="483"/>
    </row>
    <row r="154" spans="1:9" ht="20.100000000000001" customHeight="1" x14ac:dyDescent="0.2">
      <c r="G154" s="617"/>
    </row>
    <row r="155" spans="1:9" ht="18" customHeight="1" x14ac:dyDescent="0.2">
      <c r="A155" s="68"/>
      <c r="B155" s="68"/>
      <c r="C155" s="68"/>
      <c r="D155" s="68"/>
      <c r="E155" s="782"/>
      <c r="F155" s="798"/>
      <c r="G155" s="617"/>
    </row>
    <row r="156" spans="1:9" ht="18" customHeight="1" x14ac:dyDescent="0.2">
      <c r="A156" s="783"/>
      <c r="B156" s="783"/>
      <c r="C156" s="783"/>
      <c r="D156" s="783"/>
      <c r="E156" s="784"/>
      <c r="F156" s="782"/>
      <c r="G156" s="617"/>
    </row>
    <row r="157" spans="1:9" ht="120" customHeight="1" x14ac:dyDescent="0.2">
      <c r="A157" s="1317"/>
      <c r="B157" s="1317"/>
      <c r="C157" s="1317"/>
      <c r="D157" s="1317"/>
      <c r="E157" s="1317"/>
      <c r="F157" s="1317"/>
    </row>
    <row r="158" spans="1:9" ht="18" customHeight="1" x14ac:dyDescent="0.2"/>
    <row r="159" spans="1:9" ht="17.25" customHeight="1" x14ac:dyDescent="0.2">
      <c r="D159" s="1312" t="s">
        <v>374</v>
      </c>
      <c r="E159" s="1312"/>
      <c r="F159" s="431" t="e">
        <f>F3</f>
        <v>#N/A</v>
      </c>
    </row>
    <row r="160" spans="1:9" ht="17.25" customHeight="1" x14ac:dyDescent="0.2">
      <c r="D160" s="876"/>
      <c r="E160" s="876"/>
      <c r="F160" s="480"/>
    </row>
    <row r="161" spans="1:7" ht="20.100000000000001" customHeight="1" x14ac:dyDescent="0.2">
      <c r="A161" s="1314" t="s">
        <v>300</v>
      </c>
      <c r="B161" s="1314"/>
      <c r="C161" s="1314"/>
      <c r="D161" s="618"/>
      <c r="E161" s="484"/>
      <c r="F161" s="484"/>
    </row>
    <row r="162" spans="1:7" ht="12" customHeight="1" x14ac:dyDescent="0.2">
      <c r="A162" s="1315"/>
      <c r="B162" s="1315"/>
      <c r="C162" s="1315"/>
      <c r="D162" s="1315"/>
      <c r="E162" s="1315"/>
      <c r="F162" s="1315"/>
    </row>
    <row r="163" spans="1:7" ht="33" customHeight="1" x14ac:dyDescent="0.2">
      <c r="A163" s="1300" t="s">
        <v>473</v>
      </c>
      <c r="B163" s="1300"/>
      <c r="C163" s="1300"/>
      <c r="D163" s="1300"/>
      <c r="E163" s="1300"/>
      <c r="F163" s="1300"/>
    </row>
    <row r="164" spans="1:7" ht="33" customHeight="1" x14ac:dyDescent="0.2">
      <c r="A164" s="1301" t="s">
        <v>463</v>
      </c>
      <c r="B164" s="1301"/>
      <c r="C164" s="1301"/>
      <c r="D164" s="1301"/>
      <c r="E164" s="1301"/>
      <c r="F164" s="1301"/>
      <c r="G164" s="485"/>
    </row>
    <row r="165" spans="1:7" ht="33" customHeight="1" x14ac:dyDescent="0.2">
      <c r="A165" s="1301" t="s">
        <v>464</v>
      </c>
      <c r="B165" s="1301"/>
      <c r="C165" s="1301"/>
      <c r="D165" s="1301"/>
      <c r="E165" s="1301"/>
      <c r="F165" s="1301"/>
      <c r="G165" s="485"/>
    </row>
    <row r="166" spans="1:7" ht="23.1" customHeight="1" x14ac:dyDescent="0.2">
      <c r="A166" s="1301" t="s">
        <v>465</v>
      </c>
      <c r="B166" s="1301"/>
      <c r="C166" s="1301"/>
      <c r="D166" s="1301"/>
      <c r="E166" s="1301"/>
      <c r="F166" s="1301"/>
    </row>
    <row r="167" spans="1:7" ht="23.1" customHeight="1" x14ac:dyDescent="0.2">
      <c r="A167" s="1301" t="s">
        <v>466</v>
      </c>
      <c r="B167" s="1301"/>
      <c r="C167" s="1301"/>
      <c r="D167" s="1301"/>
      <c r="E167" s="1301"/>
      <c r="F167" s="1301"/>
    </row>
    <row r="168" spans="1:7" s="485" customFormat="1" ht="33" customHeight="1" x14ac:dyDescent="0.2">
      <c r="A168" s="1301" t="s">
        <v>467</v>
      </c>
      <c r="B168" s="1301"/>
      <c r="C168" s="1301"/>
      <c r="D168" s="1301"/>
      <c r="E168" s="1301"/>
      <c r="F168" s="1301"/>
    </row>
    <row r="169" spans="1:7" ht="23.1" customHeight="1" x14ac:dyDescent="0.2">
      <c r="A169" s="1300" t="s">
        <v>468</v>
      </c>
      <c r="B169" s="1300"/>
      <c r="C169" s="1300"/>
      <c r="D169" s="1300"/>
      <c r="E169" s="1300"/>
      <c r="F169" s="1300"/>
    </row>
    <row r="170" spans="1:7" ht="23.1" customHeight="1" x14ac:dyDescent="0.2">
      <c r="A170" s="1300" t="s">
        <v>469</v>
      </c>
      <c r="B170" s="1300"/>
      <c r="C170" s="1300"/>
      <c r="D170" s="1300"/>
      <c r="E170" s="1300"/>
      <c r="F170" s="1300"/>
    </row>
    <row r="171" spans="1:7" ht="23.1" customHeight="1" x14ac:dyDescent="0.2">
      <c r="A171" s="1300" t="s">
        <v>472</v>
      </c>
      <c r="B171" s="1300"/>
      <c r="C171" s="1300"/>
      <c r="D171" s="1300"/>
      <c r="E171" s="1300"/>
      <c r="F171" s="1300"/>
    </row>
    <row r="172" spans="1:7" ht="57.95" customHeight="1" x14ac:dyDescent="0.2">
      <c r="A172" s="1300" t="s">
        <v>474</v>
      </c>
      <c r="B172" s="1300"/>
      <c r="C172" s="1300"/>
      <c r="D172" s="1300"/>
      <c r="E172" s="1300"/>
      <c r="F172" s="1300"/>
    </row>
    <row r="173" spans="1:7" ht="20.100000000000001" customHeight="1" x14ac:dyDescent="0.2">
      <c r="A173" s="1299"/>
      <c r="B173" s="1299"/>
      <c r="C173" s="1299"/>
      <c r="D173" s="1299"/>
      <c r="E173" s="1299"/>
      <c r="F173" s="1299"/>
    </row>
    <row r="174" spans="1:7" ht="20.100000000000001" customHeight="1" x14ac:dyDescent="0.25">
      <c r="A174" s="1302" t="s">
        <v>371</v>
      </c>
      <c r="B174" s="1302"/>
      <c r="C174" s="486"/>
      <c r="D174" s="486"/>
      <c r="E174" s="487"/>
      <c r="F174" s="487"/>
    </row>
    <row r="175" spans="1:7" ht="20.100000000000001" customHeight="1" x14ac:dyDescent="0.2">
      <c r="A175" s="872"/>
      <c r="B175" s="872"/>
      <c r="C175" s="872"/>
      <c r="D175" s="872"/>
      <c r="E175" s="872"/>
      <c r="F175" s="872"/>
    </row>
    <row r="176" spans="1:7" ht="20.100000000000001" customHeight="1" x14ac:dyDescent="0.2">
      <c r="A176" s="1299"/>
      <c r="B176" s="1299"/>
      <c r="C176" s="1299"/>
      <c r="D176" s="1299"/>
      <c r="E176" s="1299"/>
      <c r="F176" s="1299"/>
    </row>
    <row r="177" spans="1:10" ht="30" customHeight="1" x14ac:dyDescent="0.2">
      <c r="A177" s="488"/>
      <c r="B177" s="488"/>
      <c r="C177" s="858"/>
      <c r="D177" s="873"/>
      <c r="E177" s="873"/>
      <c r="F177" s="858"/>
    </row>
    <row r="178" spans="1:10" ht="20.100000000000001" customHeight="1" x14ac:dyDescent="0.2">
      <c r="A178" s="1304" t="s">
        <v>77</v>
      </c>
      <c r="B178" s="1304"/>
      <c r="C178" s="1304"/>
      <c r="D178" s="1304" t="s">
        <v>92</v>
      </c>
      <c r="E178" s="1304"/>
      <c r="F178" s="1304"/>
    </row>
    <row r="179" spans="1:10" ht="23.1" customHeight="1" x14ac:dyDescent="0.2">
      <c r="A179" s="1298" t="s">
        <v>302</v>
      </c>
      <c r="B179" s="1298"/>
      <c r="C179" s="1298"/>
      <c r="D179" s="1298" t="s">
        <v>303</v>
      </c>
      <c r="E179" s="1298"/>
      <c r="F179" s="1298"/>
    </row>
    <row r="180" spans="1:10" ht="23.1" customHeight="1" x14ac:dyDescent="0.2">
      <c r="A180" s="1298" t="e">
        <f>VLOOKUP($C$177,'DATOS @ '!$A$113:$D$159,4,FALSE)</f>
        <v>#N/A</v>
      </c>
      <c r="B180" s="1298"/>
      <c r="C180" s="1298"/>
      <c r="D180" s="1298" t="e">
        <f>VLOOKUP($F$177,'DATOS @ '!A156:F159,6,FALSE)</f>
        <v>#N/A</v>
      </c>
      <c r="E180" s="1298"/>
      <c r="F180" s="1298"/>
    </row>
    <row r="181" spans="1:10" ht="23.1" customHeight="1" x14ac:dyDescent="0.2">
      <c r="A181" s="1296" t="e">
        <f>VLOOKUP($C$177,'DATOS @ '!$A$113:$H$168,2,FALSE)</f>
        <v>#N/A</v>
      </c>
      <c r="B181" s="1296"/>
      <c r="C181" s="1296"/>
      <c r="D181" s="1296" t="e">
        <f>VLOOKUP($F$177,'DATOS @ '!A156:F159,2,FALSE)</f>
        <v>#N/A</v>
      </c>
      <c r="E181" s="1296"/>
      <c r="F181" s="1296"/>
    </row>
    <row r="183" spans="1:10" ht="20.25" customHeight="1" x14ac:dyDescent="0.2"/>
    <row r="184" spans="1:10" ht="23.1" customHeight="1" x14ac:dyDescent="0.2">
      <c r="A184" s="1298" t="s">
        <v>270</v>
      </c>
      <c r="B184" s="1298"/>
      <c r="C184" s="1303"/>
      <c r="D184" s="1303"/>
    </row>
    <row r="186" spans="1:10" ht="23.1" customHeight="1" x14ac:dyDescent="0.25">
      <c r="A186" s="1297" t="s">
        <v>372</v>
      </c>
      <c r="B186" s="1297"/>
      <c r="C186" s="1297"/>
      <c r="D186" s="1297"/>
      <c r="E186" s="1297"/>
      <c r="F186" s="1297"/>
      <c r="J186" s="878"/>
    </row>
  </sheetData>
  <sheetProtection algorithmName="SHA-512" hashValue="h5OypzWVaVNqrXPzCsqINvlnHzsDxuV813lq5Ni83xrbiDmukxHBS8UxVNAnEZuN8jDOGXEy1NQMIZwUG905cw==" saltValue="W6Wan2hJK5rAqbdpiTefLA==" spinCount="100000" sheet="1" objects="1" scenarios="1"/>
  <mergeCells count="95">
    <mergeCell ref="A7:B7"/>
    <mergeCell ref="C7:D7"/>
    <mergeCell ref="A1:F1"/>
    <mergeCell ref="D3:E3"/>
    <mergeCell ref="A4:C4"/>
    <mergeCell ref="A6:B6"/>
    <mergeCell ref="C6:F6"/>
    <mergeCell ref="A19:B19"/>
    <mergeCell ref="A8:B8"/>
    <mergeCell ref="C8:D8"/>
    <mergeCell ref="A10:B10"/>
    <mergeCell ref="D10:E10"/>
    <mergeCell ref="A12:F12"/>
    <mergeCell ref="C14:D14"/>
    <mergeCell ref="C15:D15"/>
    <mergeCell ref="A16:B16"/>
    <mergeCell ref="C16:F16"/>
    <mergeCell ref="C17:D17"/>
    <mergeCell ref="A18:B18"/>
    <mergeCell ref="A39:F39"/>
    <mergeCell ref="A20:B20"/>
    <mergeCell ref="A21:B21"/>
    <mergeCell ref="A23:F23"/>
    <mergeCell ref="A25:F25"/>
    <mergeCell ref="A27:B27"/>
    <mergeCell ref="C27:E27"/>
    <mergeCell ref="A29:F29"/>
    <mergeCell ref="A31:F32"/>
    <mergeCell ref="A34:F34"/>
    <mergeCell ref="A37:B37"/>
    <mergeCell ref="A38:B38"/>
    <mergeCell ref="A41:F41"/>
    <mergeCell ref="D43:E43"/>
    <mergeCell ref="A44:F44"/>
    <mergeCell ref="A46:F46"/>
    <mergeCell ref="A48:B48"/>
    <mergeCell ref="C48:D48"/>
    <mergeCell ref="A59:C59"/>
    <mergeCell ref="A49:B49"/>
    <mergeCell ref="C49:D49"/>
    <mergeCell ref="A50:B50"/>
    <mergeCell ref="C50:D50"/>
    <mergeCell ref="A51:B51"/>
    <mergeCell ref="C51:D51"/>
    <mergeCell ref="C52:D52"/>
    <mergeCell ref="A53:B53"/>
    <mergeCell ref="C53:D53"/>
    <mergeCell ref="A55:F55"/>
    <mergeCell ref="A57:C57"/>
    <mergeCell ref="D119:E119"/>
    <mergeCell ref="A67:B67"/>
    <mergeCell ref="A69:F71"/>
    <mergeCell ref="A73:F73"/>
    <mergeCell ref="D75:E75"/>
    <mergeCell ref="A76:B76"/>
    <mergeCell ref="A78:D78"/>
    <mergeCell ref="A92:F92"/>
    <mergeCell ref="A94:D94"/>
    <mergeCell ref="A96:C96"/>
    <mergeCell ref="A104:C104"/>
    <mergeCell ref="A118:F118"/>
    <mergeCell ref="A164:F164"/>
    <mergeCell ref="A139:F139"/>
    <mergeCell ref="A141:C141"/>
    <mergeCell ref="A142:E142"/>
    <mergeCell ref="A144:F145"/>
    <mergeCell ref="A147:F147"/>
    <mergeCell ref="A151:F151"/>
    <mergeCell ref="A157:F157"/>
    <mergeCell ref="D159:E159"/>
    <mergeCell ref="A161:C161"/>
    <mergeCell ref="A162:F162"/>
    <mergeCell ref="A163:F163"/>
    <mergeCell ref="A178:C178"/>
    <mergeCell ref="D178:F178"/>
    <mergeCell ref="A165:F165"/>
    <mergeCell ref="A166:F166"/>
    <mergeCell ref="A167:F167"/>
    <mergeCell ref="A168:F168"/>
    <mergeCell ref="A169:F169"/>
    <mergeCell ref="A170:F170"/>
    <mergeCell ref="A171:F171"/>
    <mergeCell ref="A172:F172"/>
    <mergeCell ref="A173:F173"/>
    <mergeCell ref="A174:B174"/>
    <mergeCell ref="A176:F176"/>
    <mergeCell ref="A184:B184"/>
    <mergeCell ref="C184:D184"/>
    <mergeCell ref="A186:F186"/>
    <mergeCell ref="A179:C179"/>
    <mergeCell ref="D179:F179"/>
    <mergeCell ref="A180:C180"/>
    <mergeCell ref="D180:F180"/>
    <mergeCell ref="A181:C181"/>
    <mergeCell ref="D181:F181"/>
  </mergeCells>
  <printOptions horizontalCentered="1"/>
  <pageMargins left="0.23622047244094491" right="0.23622047244094491" top="0.74803149606299213" bottom="0.74803149606299213" header="0.31496062992125984" footer="0.31496062992125984"/>
  <pageSetup scale="70" orientation="portrait" r:id="rId1"/>
  <headerFooter>
    <oddHeader xml:space="preserve">&amp;CMODIFICACIÓN AL CERTIFICADO DE CALIBRACIÓN DE BALANZAS&amp;R&amp;"-,Negrita"&amp;12
             </oddHeader>
    <oddFooter>&amp;R&amp;8
  RT03-F39  Vr.8 (2020-03-13)
Página  &amp;P de &amp;N</oddFooter>
  </headerFooter>
  <rowBreaks count="4" manualBreakCount="4">
    <brk id="40" max="5" man="1"/>
    <brk id="72" max="5" man="1"/>
    <brk id="117" max="5" man="1"/>
    <brk id="156"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 '!$A$156:$A$159</xm:f>
          </x14:formula1>
          <xm:sqref>F177</xm:sqref>
        </x14:dataValidation>
        <x14:dataValidation type="list" allowBlank="1" showInputMessage="1" showErrorMessage="1">
          <x14:formula1>
            <xm:f>'DATOS @ '!$A$156:$A$158</xm:f>
          </x14:formula1>
          <xm:sqref>C177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11</vt:i4>
      </vt:variant>
    </vt:vector>
  </HeadingPairs>
  <TitlesOfParts>
    <vt:vector size="16" baseType="lpstr">
      <vt:lpstr>DATOS @ </vt:lpstr>
      <vt:lpstr>RT03-F12 @</vt:lpstr>
      <vt:lpstr> RT03-F15 @</vt:lpstr>
      <vt:lpstr> CMC @</vt:lpstr>
      <vt:lpstr> RT03-F39 @ </vt:lpstr>
      <vt:lpstr>' CMC @'!Área_de_impresión</vt:lpstr>
      <vt:lpstr>' RT03-F15 @'!Área_de_impresión</vt:lpstr>
      <vt:lpstr>' RT03-F39 @ '!Área_de_impresión</vt:lpstr>
      <vt:lpstr>'RT03-F12 @'!Área_de_impresión</vt:lpstr>
      <vt:lpstr>' RT03-F15 @'!Print_Area</vt:lpstr>
      <vt:lpstr>' RT03-F39 @ '!Print_Area</vt:lpstr>
      <vt:lpstr>'DATOS @ '!Print_Area</vt:lpstr>
      <vt:lpstr>'RT03-F12 @'!Print_Area</vt:lpstr>
      <vt:lpstr>' RT03-F15 @'!Print_Titles</vt:lpstr>
      <vt:lpstr>' RT03-F39 @ '!Print_Titles</vt:lpstr>
      <vt:lpstr>'RT03-F12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 Aguirre Romero</dc:creator>
  <cp:lastModifiedBy>Yenny Hernandez</cp:lastModifiedBy>
  <cp:lastPrinted>2020-03-13T13:44:05Z</cp:lastPrinted>
  <dcterms:created xsi:type="dcterms:W3CDTF">2016-06-28T20:23:39Z</dcterms:created>
  <dcterms:modified xsi:type="dcterms:W3CDTF">2020-03-13T14:12:07Z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525624</vt:i4>
  </property>
</Properties>
</file>